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W:\설계실\2022\S2206 흥원(주변지역) 정비 및 관리 실시설계 용역(22.003.31~06.28)\09 납품\220927\04 내역서\"/>
    </mc:Choice>
  </mc:AlternateContent>
  <xr:revisionPtr revIDLastSave="0" documentId="13_ncr:1_{C2AC5678-676E-4121-B46E-6476269B74E7}" xr6:coauthVersionLast="47" xr6:coauthVersionMax="47" xr10:uidLastSave="{00000000-0000-0000-0000-000000000000}"/>
  <bookViews>
    <workbookView xWindow="-38520" yWindow="-3810" windowWidth="38640" windowHeight="21840" xr2:uid="{00000000-000D-0000-FFFF-FFFF00000000}"/>
  </bookViews>
  <sheets>
    <sheet name="갑지A" sheetId="1" r:id="rId1"/>
    <sheet name="원가계산서" sheetId="2" r:id="rId2"/>
    <sheet name="공종별집계표" sheetId="3" r:id="rId3"/>
    <sheet name="공종별내역서" sheetId="4" r:id="rId4"/>
    <sheet name="일위대가목록" sheetId="5" r:id="rId5"/>
    <sheet name="일위대가" sheetId="6" r:id="rId6"/>
    <sheet name="중기단가목록" sheetId="7" r:id="rId7"/>
    <sheet name="중기단가산출서" sheetId="8" r:id="rId8"/>
    <sheet name="단가대비표" sheetId="9" r:id="rId9"/>
    <sheet name="공사설정" sheetId="10" r:id="rId10"/>
  </sheets>
  <externalReferences>
    <externalReference r:id="rId11"/>
    <externalReference r:id="rId12"/>
    <externalReference r:id="rId13"/>
  </externalReferences>
  <definedNames>
    <definedName name="_xlnm.Print_Area" localSheetId="2">공종별집계표!$A$1:$M$29</definedName>
    <definedName name="_xlnm.Print_Area" localSheetId="8">단가대비표!$A$1:$AG$94</definedName>
    <definedName name="_xlnm.Print_Area" localSheetId="1">원가계산서!$A$1:$H$36</definedName>
    <definedName name="_xlnm.Print_Area" localSheetId="5">일위대가!$A$1:$M$357</definedName>
    <definedName name="_xlnm.Print_Area" localSheetId="4">일위대가목록!$A$1:$J$61</definedName>
    <definedName name="_xlnm.Print_Area" localSheetId="6">중기단가목록!$A$1:$J$17</definedName>
    <definedName name="_xlnm.Print_Area" localSheetId="7">중기단가산출서!$A$1:$F$107</definedName>
    <definedName name="_xlnm.Print_Titles" localSheetId="3">공종별내역서!$1:$4</definedName>
    <definedName name="_xlnm.Print_Titles" localSheetId="2">공종별집계표!$1:$4</definedName>
    <definedName name="_xlnm.Print_Titles" localSheetId="8">단가대비표!$1:$4</definedName>
    <definedName name="_xlnm.Print_Titles" localSheetId="1">원가계산서!$1:$3</definedName>
    <definedName name="_xlnm.Print_Titles" localSheetId="5">일위대가!$1:$4</definedName>
    <definedName name="_xlnm.Print_Titles" localSheetId="4">일위대가목록!$1:$3</definedName>
    <definedName name="_xlnm.Print_Titles" localSheetId="6">중기단가목록!$1:$3</definedName>
    <definedName name="_xlnm.Print_Titles" localSheetId="7">중기단가산출서!$1:$3</definedName>
    <definedName name="호표_56">일위대가목록!$I$59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0" i="2" l="1"/>
  <c r="E31" i="2" s="1"/>
  <c r="I61" i="5"/>
  <c r="I60" i="5"/>
  <c r="I59" i="5"/>
  <c r="E32" i="2" l="1"/>
  <c r="E33" i="2"/>
  <c r="L14" i="3" l="1"/>
  <c r="E35" i="2"/>
  <c r="G213" i="4" l="1"/>
  <c r="H213" i="4" s="1"/>
  <c r="N213" i="4"/>
  <c r="AE94" i="9" l="1"/>
  <c r="I213" i="4" s="1"/>
  <c r="J213" i="4" s="1"/>
  <c r="U94" i="9"/>
  <c r="E213" i="4" s="1"/>
  <c r="K213" i="4" l="1"/>
  <c r="F213" i="4"/>
  <c r="L213" i="4" s="1"/>
  <c r="I146" i="4"/>
  <c r="J146" i="4" s="1"/>
  <c r="N146" i="4"/>
  <c r="AE93" i="9"/>
  <c r="V93" i="9"/>
  <c r="G146" i="4" s="1"/>
  <c r="H146" i="4" s="1"/>
  <c r="U93" i="9"/>
  <c r="E146" i="4" s="1"/>
  <c r="J343" i="6"/>
  <c r="J345" i="6"/>
  <c r="AE86" i="9"/>
  <c r="I187" i="4" s="1"/>
  <c r="K187" i="4" s="1"/>
  <c r="AE85" i="9"/>
  <c r="I186" i="4" s="1"/>
  <c r="K186" i="4" s="1"/>
  <c r="U87" i="9"/>
  <c r="E337" i="6" s="1"/>
  <c r="F337" i="6" s="1"/>
  <c r="U89" i="9"/>
  <c r="E339" i="6" s="1"/>
  <c r="F339" i="6" s="1"/>
  <c r="V91" i="9"/>
  <c r="G342" i="6" s="1"/>
  <c r="H342" i="6" s="1"/>
  <c r="G340" i="6"/>
  <c r="H340" i="6" s="1"/>
  <c r="G338" i="6"/>
  <c r="H338" i="6" s="1"/>
  <c r="I338" i="6"/>
  <c r="J338" i="6" s="1"/>
  <c r="G339" i="6"/>
  <c r="H339" i="6" s="1"/>
  <c r="I339" i="6"/>
  <c r="J339" i="6" s="1"/>
  <c r="G337" i="6"/>
  <c r="H337" i="6" s="1"/>
  <c r="I337" i="6"/>
  <c r="J337" i="6" s="1"/>
  <c r="M337" i="6"/>
  <c r="M338" i="6"/>
  <c r="M339" i="6"/>
  <c r="E341" i="6"/>
  <c r="F341" i="6" s="1"/>
  <c r="G341" i="6"/>
  <c r="H341" i="6" s="1"/>
  <c r="I341" i="6"/>
  <c r="J341" i="6" s="1"/>
  <c r="M341" i="6"/>
  <c r="E342" i="6"/>
  <c r="F342" i="6" s="1"/>
  <c r="I342" i="6"/>
  <c r="J342" i="6" s="1"/>
  <c r="M342" i="6"/>
  <c r="E343" i="6"/>
  <c r="F343" i="6" s="1"/>
  <c r="E344" i="6"/>
  <c r="F344" i="6" s="1"/>
  <c r="I344" i="6"/>
  <c r="J344" i="6" s="1"/>
  <c r="E345" i="6"/>
  <c r="F345" i="6" s="1"/>
  <c r="F346" i="6"/>
  <c r="H346" i="6"/>
  <c r="I355" i="6"/>
  <c r="I144" i="4"/>
  <c r="J144" i="4" s="1"/>
  <c r="AE92" i="9"/>
  <c r="V92" i="9"/>
  <c r="U92" i="9"/>
  <c r="G355" i="6"/>
  <c r="H355" i="6" s="1"/>
  <c r="H356" i="6" s="1"/>
  <c r="F61" i="5" s="1"/>
  <c r="E355" i="6"/>
  <c r="F355" i="6" s="1"/>
  <c r="F356" i="6" s="1"/>
  <c r="E61" i="5" s="1"/>
  <c r="AE91" i="9"/>
  <c r="U91" i="9"/>
  <c r="AE90" i="9"/>
  <c r="V90" i="9"/>
  <c r="U90" i="9"/>
  <c r="E340" i="6" s="1"/>
  <c r="F340" i="6" s="1"/>
  <c r="AE89" i="9"/>
  <c r="V89" i="9"/>
  <c r="AE88" i="9"/>
  <c r="V88" i="9"/>
  <c r="U88" i="9"/>
  <c r="E338" i="6" s="1"/>
  <c r="F338" i="6" s="1"/>
  <c r="AE87" i="9"/>
  <c r="V87" i="9"/>
  <c r="I351" i="6"/>
  <c r="J351" i="6" s="1"/>
  <c r="E351" i="6"/>
  <c r="F351" i="6" s="1"/>
  <c r="I350" i="6"/>
  <c r="J350" i="6" s="1"/>
  <c r="E350" i="6"/>
  <c r="N145" i="4"/>
  <c r="I145" i="4"/>
  <c r="J145" i="4" s="1"/>
  <c r="N144" i="4"/>
  <c r="H187" i="4"/>
  <c r="F187" i="4"/>
  <c r="H186" i="4"/>
  <c r="F186" i="4"/>
  <c r="K146" i="4" l="1"/>
  <c r="F146" i="4"/>
  <c r="L146" i="4" s="1"/>
  <c r="K338" i="6"/>
  <c r="L338" i="6"/>
  <c r="L341" i="6"/>
  <c r="L342" i="6"/>
  <c r="K355" i="6"/>
  <c r="L339" i="6"/>
  <c r="K342" i="6"/>
  <c r="K339" i="6"/>
  <c r="J355" i="6"/>
  <c r="J356" i="6" s="1"/>
  <c r="L337" i="6"/>
  <c r="K337" i="6"/>
  <c r="K341" i="6"/>
  <c r="F350" i="6"/>
  <c r="J187" i="4"/>
  <c r="L187" i="4" s="1"/>
  <c r="J186" i="4"/>
  <c r="L186" i="4" s="1"/>
  <c r="L356" i="6" l="1"/>
  <c r="G61" i="5"/>
  <c r="I340" i="6" s="1"/>
  <c r="G145" i="4"/>
  <c r="L355" i="6"/>
  <c r="F347" i="6"/>
  <c r="F352" i="6"/>
  <c r="E60" i="5" s="1"/>
  <c r="J340" i="6" l="1"/>
  <c r="K340" i="6"/>
  <c r="E59" i="5"/>
  <c r="E144" i="4"/>
  <c r="H145" i="4"/>
  <c r="J352" i="6"/>
  <c r="G60" i="5" s="1"/>
  <c r="L340" i="6" l="1"/>
  <c r="G144" i="4"/>
  <c r="H144" i="4" s="1"/>
  <c r="F144" i="4"/>
  <c r="L144" i="4" l="1"/>
  <c r="K144" i="4"/>
  <c r="U84" i="9"/>
  <c r="AK84" i="9"/>
  <c r="E112" i="4" l="1"/>
  <c r="AE83" i="9" l="1"/>
  <c r="I185" i="4" s="1"/>
  <c r="J185" i="4" s="1"/>
  <c r="G185" i="4"/>
  <c r="H185" i="4" s="1"/>
  <c r="K185" i="4" l="1"/>
  <c r="F185" i="4"/>
  <c r="L185" i="4" s="1"/>
  <c r="I25" i="5" l="1"/>
  <c r="AE54" i="9"/>
  <c r="V54" i="9"/>
  <c r="G265" i="6" s="1"/>
  <c r="H265" i="6" s="1"/>
  <c r="U54" i="9"/>
  <c r="E265" i="6" s="1"/>
  <c r="F265" i="6" s="1"/>
  <c r="J267" i="6"/>
  <c r="H267" i="6"/>
  <c r="I265" i="6"/>
  <c r="J265" i="6" s="1"/>
  <c r="AE63" i="9"/>
  <c r="I264" i="6" s="1"/>
  <c r="J264" i="6" s="1"/>
  <c r="V63" i="9"/>
  <c r="G264" i="6" s="1"/>
  <c r="U63" i="9"/>
  <c r="E264" i="6" s="1"/>
  <c r="N88" i="4"/>
  <c r="I55" i="5"/>
  <c r="U30" i="9"/>
  <c r="E67" i="6" s="1"/>
  <c r="F67" i="6" s="1"/>
  <c r="U29" i="9"/>
  <c r="E66" i="6" s="1"/>
  <c r="F66" i="6" s="1"/>
  <c r="N87" i="4"/>
  <c r="L265" i="6" l="1"/>
  <c r="E88" i="4"/>
  <c r="F88" i="4" s="1"/>
  <c r="K264" i="6"/>
  <c r="H264" i="6"/>
  <c r="K265" i="6"/>
  <c r="F264" i="6"/>
  <c r="E34" i="2"/>
  <c r="N111" i="4"/>
  <c r="N109" i="4"/>
  <c r="I58" i="5"/>
  <c r="E333" i="6"/>
  <c r="E332" i="6"/>
  <c r="I332" i="6"/>
  <c r="J332" i="6" s="1"/>
  <c r="L264" i="6" l="1"/>
  <c r="F333" i="6"/>
  <c r="F332" i="6"/>
  <c r="F334" i="6" l="1"/>
  <c r="E58" i="5" l="1"/>
  <c r="E109" i="4" l="1"/>
  <c r="AE27" i="9" l="1"/>
  <c r="V27" i="9"/>
  <c r="U27" i="9"/>
  <c r="V35" i="9"/>
  <c r="G216" i="4" s="1"/>
  <c r="H216" i="4" s="1"/>
  <c r="AE35" i="9"/>
  <c r="U35" i="9"/>
  <c r="E59" i="6" s="1"/>
  <c r="U21" i="9"/>
  <c r="N238" i="4"/>
  <c r="N239" i="4"/>
  <c r="N240" i="4"/>
  <c r="N241" i="4"/>
  <c r="AE82" i="9"/>
  <c r="I241" i="4" s="1"/>
  <c r="AE81" i="9"/>
  <c r="I240" i="4" s="1"/>
  <c r="K240" i="4" s="1"/>
  <c r="AE80" i="9"/>
  <c r="I239" i="4" s="1"/>
  <c r="J239" i="4" s="1"/>
  <c r="AE79" i="9"/>
  <c r="I238" i="4" s="1"/>
  <c r="J238" i="4" s="1"/>
  <c r="AE78" i="9"/>
  <c r="I237" i="4" s="1"/>
  <c r="N143" i="4"/>
  <c r="L329" i="6"/>
  <c r="AE18" i="9"/>
  <c r="V18" i="9"/>
  <c r="U18" i="9"/>
  <c r="AE17" i="9"/>
  <c r="V17" i="9"/>
  <c r="U17" i="9"/>
  <c r="V16" i="9"/>
  <c r="AE16" i="9"/>
  <c r="U16" i="9"/>
  <c r="J32" i="6"/>
  <c r="H32" i="6"/>
  <c r="G57" i="5"/>
  <c r="I33" i="4" s="1"/>
  <c r="J33" i="4" s="1"/>
  <c r="F57" i="5"/>
  <c r="G33" i="4" s="1"/>
  <c r="H33" i="4" s="1"/>
  <c r="E57" i="5"/>
  <c r="E33" i="4" s="1"/>
  <c r="F33" i="4" s="1"/>
  <c r="I57" i="5"/>
  <c r="AE6" i="9"/>
  <c r="V6" i="9"/>
  <c r="U6" i="9"/>
  <c r="E13" i="6" s="1"/>
  <c r="F13" i="6" s="1"/>
  <c r="U7" i="9"/>
  <c r="V7" i="9"/>
  <c r="AE7" i="9"/>
  <c r="J13" i="6"/>
  <c r="H13" i="6"/>
  <c r="J241" i="4" l="1"/>
  <c r="K241" i="4"/>
  <c r="J240" i="4"/>
  <c r="K239" i="4"/>
  <c r="K238" i="4"/>
  <c r="H57" i="5"/>
  <c r="L33" i="4"/>
  <c r="K33" i="4"/>
  <c r="L13" i="6"/>
  <c r="K13" i="6"/>
  <c r="AE77" i="9" l="1"/>
  <c r="I110" i="4" s="1"/>
  <c r="J110" i="4" s="1"/>
  <c r="V77" i="9"/>
  <c r="G110" i="4" s="1"/>
  <c r="H110" i="4" s="1"/>
  <c r="U77" i="9"/>
  <c r="E110" i="4" s="1"/>
  <c r="N110" i="4"/>
  <c r="AE76" i="9"/>
  <c r="V76" i="9"/>
  <c r="U76" i="9"/>
  <c r="E211" i="4" s="1"/>
  <c r="N211" i="4"/>
  <c r="AE75" i="9"/>
  <c r="V75" i="9"/>
  <c r="U75" i="9"/>
  <c r="E210" i="4" s="1"/>
  <c r="AE74" i="9"/>
  <c r="I215" i="4" s="1"/>
  <c r="AE73" i="9"/>
  <c r="I216" i="4" s="1"/>
  <c r="AE72" i="9"/>
  <c r="I214" i="4" s="1"/>
  <c r="AE71" i="9"/>
  <c r="I212" i="4" s="1"/>
  <c r="V74" i="9"/>
  <c r="G215" i="4" s="1"/>
  <c r="U74" i="9"/>
  <c r="E215" i="4" s="1"/>
  <c r="J216" i="4" l="1"/>
  <c r="K110" i="4"/>
  <c r="F110" i="4"/>
  <c r="L110" i="4" s="1"/>
  <c r="F211" i="4"/>
  <c r="N215" i="4"/>
  <c r="J215" i="4"/>
  <c r="H215" i="4"/>
  <c r="K215" i="4"/>
  <c r="V73" i="9"/>
  <c r="U73" i="9"/>
  <c r="E216" i="4" s="1"/>
  <c r="K216" i="4" s="1"/>
  <c r="N216" i="4"/>
  <c r="F215" i="4" l="1"/>
  <c r="F216" i="4"/>
  <c r="L216" i="4" l="1"/>
  <c r="L215" i="4"/>
  <c r="J214" i="4" l="1"/>
  <c r="V72" i="9"/>
  <c r="G214" i="4" s="1"/>
  <c r="H214" i="4" s="1"/>
  <c r="U72" i="9"/>
  <c r="E214" i="4" s="1"/>
  <c r="N214" i="4"/>
  <c r="G212" i="4"/>
  <c r="H212" i="4" s="1"/>
  <c r="U71" i="9"/>
  <c r="E212" i="4" s="1"/>
  <c r="F212" i="4" s="1"/>
  <c r="J212" i="4"/>
  <c r="N212" i="4"/>
  <c r="AE70" i="9"/>
  <c r="V70" i="9"/>
  <c r="U70" i="9"/>
  <c r="E93" i="4" s="1"/>
  <c r="K93" i="4" s="1"/>
  <c r="N93" i="4"/>
  <c r="I93" i="4"/>
  <c r="J93" i="4" s="1"/>
  <c r="G93" i="4"/>
  <c r="H93" i="4" s="1"/>
  <c r="K214" i="4" l="1"/>
  <c r="F214" i="4"/>
  <c r="L214" i="4" s="1"/>
  <c r="L212" i="4"/>
  <c r="K212" i="4"/>
  <c r="F93" i="4"/>
  <c r="L93" i="4" s="1"/>
  <c r="AE69" i="9" l="1"/>
  <c r="V69" i="9"/>
  <c r="U69" i="9"/>
  <c r="AE68" i="9"/>
  <c r="V68" i="9"/>
  <c r="U68" i="9"/>
  <c r="AE67" i="9"/>
  <c r="I265" i="4" s="1"/>
  <c r="J265" i="4" s="1"/>
  <c r="V67" i="9"/>
  <c r="G265" i="4" s="1"/>
  <c r="H265" i="4" s="1"/>
  <c r="U67" i="9"/>
  <c r="E265" i="4" s="1"/>
  <c r="AE66" i="9"/>
  <c r="I101" i="6" s="1"/>
  <c r="V66" i="9"/>
  <c r="G101" i="6" s="1"/>
  <c r="H101" i="6" s="1"/>
  <c r="U66" i="9"/>
  <c r="E101" i="6" s="1"/>
  <c r="F101" i="6" s="1"/>
  <c r="AE65" i="9"/>
  <c r="V65" i="9"/>
  <c r="U65" i="9"/>
  <c r="AE64" i="9"/>
  <c r="V64" i="9"/>
  <c r="U64" i="9"/>
  <c r="AE62" i="9"/>
  <c r="I257" i="6" s="1"/>
  <c r="J257" i="6" s="1"/>
  <c r="V62" i="9"/>
  <c r="G257" i="6" s="1"/>
  <c r="U62" i="9"/>
  <c r="E257" i="6" s="1"/>
  <c r="F257" i="6" s="1"/>
  <c r="AE61" i="9"/>
  <c r="I250" i="6" s="1"/>
  <c r="J250" i="6" s="1"/>
  <c r="V61" i="9"/>
  <c r="G250" i="6" s="1"/>
  <c r="U61" i="9"/>
  <c r="E250" i="6" s="1"/>
  <c r="F250" i="6" s="1"/>
  <c r="AE60" i="9"/>
  <c r="V60" i="9"/>
  <c r="U60" i="9"/>
  <c r="AE59" i="9"/>
  <c r="V59" i="9"/>
  <c r="G239" i="6" s="1"/>
  <c r="H239" i="6" s="1"/>
  <c r="U59" i="9"/>
  <c r="AE58" i="9"/>
  <c r="I232" i="6" s="1"/>
  <c r="J232" i="6" s="1"/>
  <c r="V58" i="9"/>
  <c r="G232" i="6" s="1"/>
  <c r="H232" i="6" s="1"/>
  <c r="U58" i="9"/>
  <c r="E232" i="6" s="1"/>
  <c r="F232" i="6" s="1"/>
  <c r="AE57" i="9"/>
  <c r="I225" i="6" s="1"/>
  <c r="J225" i="6" s="1"/>
  <c r="V57" i="9"/>
  <c r="G225" i="6" s="1"/>
  <c r="H225" i="6" s="1"/>
  <c r="U57" i="9"/>
  <c r="E225" i="6" s="1"/>
  <c r="AE56" i="9"/>
  <c r="V56" i="9"/>
  <c r="U56" i="9"/>
  <c r="AE55" i="9"/>
  <c r="V55" i="9"/>
  <c r="G211" i="6" s="1"/>
  <c r="H211" i="6" s="1"/>
  <c r="U55" i="9"/>
  <c r="AE53" i="9"/>
  <c r="I251" i="6" s="1"/>
  <c r="J251" i="6" s="1"/>
  <c r="V53" i="9"/>
  <c r="G251" i="6" s="1"/>
  <c r="H251" i="6" s="1"/>
  <c r="U53" i="9"/>
  <c r="E258" i="6" s="1"/>
  <c r="F258" i="6" s="1"/>
  <c r="AE52" i="9"/>
  <c r="I226" i="6" s="1"/>
  <c r="J226" i="6" s="1"/>
  <c r="V52" i="9"/>
  <c r="G219" i="6" s="1"/>
  <c r="H219" i="6" s="1"/>
  <c r="U52" i="9"/>
  <c r="E233" i="6" s="1"/>
  <c r="F233" i="6" s="1"/>
  <c r="AE51" i="9"/>
  <c r="I321" i="6" s="1"/>
  <c r="J321" i="6" s="1"/>
  <c r="V51" i="9"/>
  <c r="U51" i="9"/>
  <c r="AE50" i="9"/>
  <c r="V50" i="9"/>
  <c r="G88" i="6" s="1"/>
  <c r="H88" i="6" s="1"/>
  <c r="U50" i="9"/>
  <c r="AE49" i="9"/>
  <c r="V49" i="9"/>
  <c r="G130" i="6" s="1"/>
  <c r="H130" i="6" s="1"/>
  <c r="U49" i="9"/>
  <c r="E130" i="6" s="1"/>
  <c r="F130" i="6" s="1"/>
  <c r="AE48" i="9"/>
  <c r="I333" i="6" s="1"/>
  <c r="J333" i="6" s="1"/>
  <c r="J334" i="6" s="1"/>
  <c r="G58" i="5" s="1"/>
  <c r="I109" i="4" s="1"/>
  <c r="V48" i="9"/>
  <c r="G304" i="6" s="1"/>
  <c r="H304" i="6" s="1"/>
  <c r="U48" i="9"/>
  <c r="E316" i="6" s="1"/>
  <c r="AE47" i="9"/>
  <c r="V47" i="9"/>
  <c r="G316" i="6" s="1"/>
  <c r="U47" i="9"/>
  <c r="AE46" i="9"/>
  <c r="V46" i="9"/>
  <c r="G79" i="6" s="1"/>
  <c r="U46" i="9"/>
  <c r="AE45" i="9"/>
  <c r="I19" i="6" s="1"/>
  <c r="J19" i="6" s="1"/>
  <c r="V45" i="9"/>
  <c r="G19" i="6" s="1"/>
  <c r="H19" i="6" s="1"/>
  <c r="U45" i="9"/>
  <c r="E19" i="6" s="1"/>
  <c r="AE44" i="9"/>
  <c r="I93" i="6" s="1"/>
  <c r="J93" i="6" s="1"/>
  <c r="V44" i="9"/>
  <c r="G93" i="6" s="1"/>
  <c r="H93" i="6" s="1"/>
  <c r="U44" i="9"/>
  <c r="E38" i="6" s="1"/>
  <c r="F38" i="6" s="1"/>
  <c r="AE43" i="9"/>
  <c r="V43" i="9"/>
  <c r="G344" i="6" s="1"/>
  <c r="U43" i="9"/>
  <c r="AE42" i="9"/>
  <c r="V42" i="9"/>
  <c r="U42" i="9"/>
  <c r="AE41" i="9"/>
  <c r="I180" i="6" s="1"/>
  <c r="J180" i="6" s="1"/>
  <c r="V41" i="9"/>
  <c r="G180" i="6" s="1"/>
  <c r="H180" i="6" s="1"/>
  <c r="U41" i="9"/>
  <c r="E180" i="6" s="1"/>
  <c r="AE40" i="9"/>
  <c r="I205" i="6" s="1"/>
  <c r="J205" i="6" s="1"/>
  <c r="V40" i="9"/>
  <c r="G205" i="6" s="1"/>
  <c r="H205" i="6" s="1"/>
  <c r="U40" i="9"/>
  <c r="E205" i="6" s="1"/>
  <c r="F205" i="6" s="1"/>
  <c r="AE39" i="9"/>
  <c r="I139" i="6" s="1"/>
  <c r="J139" i="6" s="1"/>
  <c r="V39" i="9"/>
  <c r="U39" i="9"/>
  <c r="AE38" i="9"/>
  <c r="I138" i="6" s="1"/>
  <c r="J138" i="6" s="1"/>
  <c r="V38" i="9"/>
  <c r="U38" i="9"/>
  <c r="E138" i="6" s="1"/>
  <c r="AE37" i="9"/>
  <c r="I20" i="6" s="1"/>
  <c r="J20" i="6" s="1"/>
  <c r="V37" i="9"/>
  <c r="U37" i="9"/>
  <c r="E303" i="6" s="1"/>
  <c r="F303" i="6" s="1"/>
  <c r="AE36" i="9"/>
  <c r="I83" i="4" s="1"/>
  <c r="J83" i="4" s="1"/>
  <c r="V36" i="9"/>
  <c r="G83" i="4" s="1"/>
  <c r="H83" i="4" s="1"/>
  <c r="U36" i="9"/>
  <c r="E83" i="4" s="1"/>
  <c r="F83" i="4" s="1"/>
  <c r="I211" i="4"/>
  <c r="J211" i="4" s="1"/>
  <c r="G211" i="4"/>
  <c r="AE34" i="9"/>
  <c r="V34" i="9"/>
  <c r="G210" i="4" s="1"/>
  <c r="U34" i="9"/>
  <c r="AE33" i="9"/>
  <c r="V33" i="9"/>
  <c r="G140" i="4" s="1"/>
  <c r="H140" i="4" s="1"/>
  <c r="U33" i="9"/>
  <c r="E140" i="4" s="1"/>
  <c r="AE32" i="9"/>
  <c r="I90" i="4" s="1"/>
  <c r="J90" i="4" s="1"/>
  <c r="V32" i="9"/>
  <c r="G90" i="4" s="1"/>
  <c r="H90" i="4" s="1"/>
  <c r="U32" i="9"/>
  <c r="E90" i="4" s="1"/>
  <c r="AE31" i="9"/>
  <c r="I311" i="6" s="1"/>
  <c r="J311" i="6" s="1"/>
  <c r="V31" i="9"/>
  <c r="G311" i="6" s="1"/>
  <c r="H311" i="6" s="1"/>
  <c r="U31" i="9"/>
  <c r="E311" i="6" s="1"/>
  <c r="F311" i="6" s="1"/>
  <c r="AE30" i="9"/>
  <c r="I67" i="6" s="1"/>
  <c r="J67" i="6" s="1"/>
  <c r="V30" i="9"/>
  <c r="AE29" i="9"/>
  <c r="V29" i="9"/>
  <c r="AE28" i="9"/>
  <c r="I310" i="6" s="1"/>
  <c r="J310" i="6" s="1"/>
  <c r="V28" i="9"/>
  <c r="G310" i="6" s="1"/>
  <c r="H310" i="6" s="1"/>
  <c r="U28" i="9"/>
  <c r="E310" i="6" s="1"/>
  <c r="AE26" i="9"/>
  <c r="I138" i="4" s="1"/>
  <c r="J138" i="4" s="1"/>
  <c r="V26" i="9"/>
  <c r="G138" i="4" s="1"/>
  <c r="H138" i="4" s="1"/>
  <c r="U26" i="9"/>
  <c r="E138" i="4" s="1"/>
  <c r="AE25" i="9"/>
  <c r="V25" i="9"/>
  <c r="G189" i="6" s="1"/>
  <c r="H189" i="6" s="1"/>
  <c r="U25" i="9"/>
  <c r="E189" i="6" s="1"/>
  <c r="F189" i="6" s="1"/>
  <c r="AE24" i="9"/>
  <c r="V24" i="9"/>
  <c r="G6" i="6" s="1"/>
  <c r="H6" i="6" s="1"/>
  <c r="U24" i="9"/>
  <c r="AE23" i="9"/>
  <c r="I199" i="6" s="1"/>
  <c r="J199" i="6" s="1"/>
  <c r="V23" i="9"/>
  <c r="G199" i="6" s="1"/>
  <c r="H199" i="6" s="1"/>
  <c r="U23" i="9"/>
  <c r="E199" i="6" s="1"/>
  <c r="AE22" i="9"/>
  <c r="I198" i="6" s="1"/>
  <c r="J198" i="6" s="1"/>
  <c r="V22" i="9"/>
  <c r="G198" i="6" s="1"/>
  <c r="U22" i="9"/>
  <c r="E198" i="6" s="1"/>
  <c r="F198" i="6" s="1"/>
  <c r="AE21" i="9"/>
  <c r="V21" i="9"/>
  <c r="G132" i="6" s="1"/>
  <c r="H132" i="6" s="1"/>
  <c r="AE20" i="9"/>
  <c r="I45" i="6" s="1"/>
  <c r="J45" i="6" s="1"/>
  <c r="V20" i="9"/>
  <c r="G45" i="6" s="1"/>
  <c r="U20" i="9"/>
  <c r="AE19" i="9"/>
  <c r="I296" i="6" s="1"/>
  <c r="J296" i="6" s="1"/>
  <c r="V19" i="9"/>
  <c r="G290" i="6" s="1"/>
  <c r="H290" i="6" s="1"/>
  <c r="U19" i="9"/>
  <c r="E296" i="6" s="1"/>
  <c r="F296" i="6" s="1"/>
  <c r="G132" i="4"/>
  <c r="H132" i="4" s="1"/>
  <c r="AE15" i="9"/>
  <c r="I65" i="6" s="1"/>
  <c r="V15" i="9"/>
  <c r="G65" i="6" s="1"/>
  <c r="U15" i="9"/>
  <c r="AE14" i="9"/>
  <c r="V14" i="9"/>
  <c r="U14" i="9"/>
  <c r="E100" i="6" s="1"/>
  <c r="AE13" i="9"/>
  <c r="I134" i="4" s="1"/>
  <c r="J134" i="4" s="1"/>
  <c r="V13" i="9"/>
  <c r="G134" i="4" s="1"/>
  <c r="H134" i="4" s="1"/>
  <c r="U13" i="9"/>
  <c r="AE12" i="9"/>
  <c r="I123" i="6" s="1"/>
  <c r="V12" i="9"/>
  <c r="G123" i="6" s="1"/>
  <c r="H123" i="6" s="1"/>
  <c r="U12" i="9"/>
  <c r="E123" i="6" s="1"/>
  <c r="F123" i="6" s="1"/>
  <c r="AE11" i="9"/>
  <c r="I259" i="6" s="1"/>
  <c r="J259" i="6" s="1"/>
  <c r="V11" i="9"/>
  <c r="G259" i="6" s="1"/>
  <c r="H259" i="6" s="1"/>
  <c r="U11" i="9"/>
  <c r="E259" i="6" s="1"/>
  <c r="F259" i="6" s="1"/>
  <c r="AE10" i="9"/>
  <c r="I266" i="6" s="1"/>
  <c r="J266" i="6" s="1"/>
  <c r="J268" i="6" s="1"/>
  <c r="V10" i="9"/>
  <c r="G234" i="6" s="1"/>
  <c r="H234" i="6" s="1"/>
  <c r="U10" i="9"/>
  <c r="E266" i="6" s="1"/>
  <c r="AE9" i="9"/>
  <c r="V9" i="9"/>
  <c r="G124" i="6" s="1"/>
  <c r="H124" i="6" s="1"/>
  <c r="U9" i="9"/>
  <c r="E124" i="6" s="1"/>
  <c r="AE8" i="9"/>
  <c r="I291" i="6" s="1"/>
  <c r="J291" i="6" s="1"/>
  <c r="V8" i="9"/>
  <c r="G297" i="6" s="1"/>
  <c r="H297" i="6" s="1"/>
  <c r="U8" i="9"/>
  <c r="AE5" i="9"/>
  <c r="I144" i="6" s="1"/>
  <c r="J144" i="6" s="1"/>
  <c r="V5" i="9"/>
  <c r="G144" i="6" s="1"/>
  <c r="H144" i="6" s="1"/>
  <c r="U5" i="9"/>
  <c r="E144" i="6" s="1"/>
  <c r="F144" i="6" s="1"/>
  <c r="E104" i="8"/>
  <c r="E103" i="8"/>
  <c r="E98" i="8"/>
  <c r="E97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3" i="8"/>
  <c r="E52" i="8"/>
  <c r="E51" i="8"/>
  <c r="E50" i="8"/>
  <c r="E49" i="8"/>
  <c r="E48" i="8"/>
  <c r="E47" i="8"/>
  <c r="E46" i="8"/>
  <c r="E45" i="8"/>
  <c r="E40" i="8"/>
  <c r="E39" i="8"/>
  <c r="E38" i="8"/>
  <c r="E37" i="8"/>
  <c r="E36" i="8"/>
  <c r="E35" i="8"/>
  <c r="E34" i="8"/>
  <c r="E33" i="8"/>
  <c r="E32" i="8"/>
  <c r="E31" i="8"/>
  <c r="E25" i="8"/>
  <c r="E24" i="8"/>
  <c r="E23" i="8"/>
  <c r="E22" i="8"/>
  <c r="E21" i="8"/>
  <c r="E20" i="8"/>
  <c r="E19" i="8"/>
  <c r="E18" i="8"/>
  <c r="E17" i="8"/>
  <c r="E11" i="8"/>
  <c r="E10" i="8"/>
  <c r="E9" i="8"/>
  <c r="E8" i="8"/>
  <c r="E7" i="8"/>
  <c r="E6" i="8"/>
  <c r="E5" i="8"/>
  <c r="E4" i="8"/>
  <c r="H7" i="7"/>
  <c r="H6" i="7"/>
  <c r="H5" i="7"/>
  <c r="H4" i="7"/>
  <c r="J323" i="6"/>
  <c r="H323" i="6"/>
  <c r="G321" i="6"/>
  <c r="H321" i="6" s="1"/>
  <c r="E321" i="6"/>
  <c r="I317" i="6"/>
  <c r="J317" i="6" s="1"/>
  <c r="H316" i="6"/>
  <c r="J312" i="6"/>
  <c r="H312" i="6"/>
  <c r="J306" i="6"/>
  <c r="H306" i="6"/>
  <c r="I286" i="6"/>
  <c r="J286" i="6" s="1"/>
  <c r="J287" i="6" s="1"/>
  <c r="G50" i="5" s="1"/>
  <c r="I282" i="6"/>
  <c r="J282" i="6" s="1"/>
  <c r="J283" i="6" s="1"/>
  <c r="G49" i="5" s="1"/>
  <c r="I47" i="6" s="1"/>
  <c r="J47" i="6" s="1"/>
  <c r="E282" i="6"/>
  <c r="I278" i="6"/>
  <c r="J278" i="6" s="1"/>
  <c r="J279" i="6" s="1"/>
  <c r="G48" i="5" s="1"/>
  <c r="I23" i="6" s="1"/>
  <c r="J23" i="6" s="1"/>
  <c r="G278" i="6"/>
  <c r="H278" i="6" s="1"/>
  <c r="H279" i="6" s="1"/>
  <c r="F48" i="5" s="1"/>
  <c r="G23" i="6" s="1"/>
  <c r="H23" i="6" s="1"/>
  <c r="E278" i="6"/>
  <c r="J273" i="6"/>
  <c r="H273" i="6"/>
  <c r="I271" i="6"/>
  <c r="J271" i="6" s="1"/>
  <c r="G271" i="6"/>
  <c r="H271" i="6" s="1"/>
  <c r="E271" i="6"/>
  <c r="F271" i="6" s="1"/>
  <c r="J260" i="6"/>
  <c r="H260" i="6"/>
  <c r="I258" i="6"/>
  <c r="J258" i="6" s="1"/>
  <c r="J253" i="6"/>
  <c r="H253" i="6"/>
  <c r="I252" i="6"/>
  <c r="J252" i="6" s="1"/>
  <c r="I246" i="6"/>
  <c r="J246" i="6" s="1"/>
  <c r="J247" i="6" s="1"/>
  <c r="G43" i="5" s="1"/>
  <c r="G246" i="6"/>
  <c r="E246" i="6"/>
  <c r="F246" i="6" s="1"/>
  <c r="F247" i="6" s="1"/>
  <c r="E43" i="5" s="1"/>
  <c r="J241" i="6"/>
  <c r="H241" i="6"/>
  <c r="G240" i="6"/>
  <c r="H240" i="6" s="1"/>
  <c r="I239" i="6"/>
  <c r="J239" i="6" s="1"/>
  <c r="E239" i="6"/>
  <c r="F239" i="6" s="1"/>
  <c r="J235" i="6"/>
  <c r="H235" i="6"/>
  <c r="I234" i="6"/>
  <c r="J234" i="6" s="1"/>
  <c r="J228" i="6"/>
  <c r="H228" i="6"/>
  <c r="I227" i="6"/>
  <c r="J227" i="6" s="1"/>
  <c r="J221" i="6"/>
  <c r="H221" i="6"/>
  <c r="I220" i="6"/>
  <c r="J220" i="6" s="1"/>
  <c r="G220" i="6"/>
  <c r="H220" i="6" s="1"/>
  <c r="I218" i="6"/>
  <c r="J218" i="6" s="1"/>
  <c r="G218" i="6"/>
  <c r="H218" i="6" s="1"/>
  <c r="E218" i="6"/>
  <c r="F218" i="6" s="1"/>
  <c r="J214" i="6"/>
  <c r="H214" i="6"/>
  <c r="I213" i="6"/>
  <c r="J213" i="6" s="1"/>
  <c r="G213" i="6"/>
  <c r="H213" i="6" s="1"/>
  <c r="E213" i="6"/>
  <c r="F213" i="6" s="1"/>
  <c r="I211" i="6"/>
  <c r="J211" i="6" s="1"/>
  <c r="E211" i="6"/>
  <c r="F211" i="6" s="1"/>
  <c r="H207" i="6"/>
  <c r="F207" i="6"/>
  <c r="I206" i="6"/>
  <c r="J206" i="6" s="1"/>
  <c r="J201" i="6"/>
  <c r="H201" i="6"/>
  <c r="J200" i="6"/>
  <c r="H200" i="6"/>
  <c r="J190" i="6"/>
  <c r="F190" i="6"/>
  <c r="I189" i="6"/>
  <c r="J189" i="6" s="1"/>
  <c r="H188" i="6"/>
  <c r="F188" i="6"/>
  <c r="I186" i="6"/>
  <c r="J186" i="6" s="1"/>
  <c r="H182" i="6"/>
  <c r="F182" i="6"/>
  <c r="I175" i="6"/>
  <c r="J175" i="6" s="1"/>
  <c r="E175" i="6"/>
  <c r="H171" i="6"/>
  <c r="H172" i="6" s="1"/>
  <c r="F31" i="5" s="1"/>
  <c r="G8" i="6" s="1"/>
  <c r="H8" i="6" s="1"/>
  <c r="F171" i="6"/>
  <c r="F172" i="6" s="1"/>
  <c r="E31" i="5" s="1"/>
  <c r="I169" i="6"/>
  <c r="J169" i="6" s="1"/>
  <c r="E169" i="6"/>
  <c r="I168" i="6"/>
  <c r="G168" i="6"/>
  <c r="H168" i="6" s="1"/>
  <c r="E168" i="6"/>
  <c r="F168" i="6" s="1"/>
  <c r="H164" i="6"/>
  <c r="H165" i="6" s="1"/>
  <c r="F30" i="5" s="1"/>
  <c r="G7" i="6" s="1"/>
  <c r="H7" i="6" s="1"/>
  <c r="F164" i="6"/>
  <c r="F165" i="6" s="1"/>
  <c r="E30" i="5" s="1"/>
  <c r="E7" i="6" s="1"/>
  <c r="I162" i="6"/>
  <c r="J162" i="6" s="1"/>
  <c r="E162" i="6"/>
  <c r="I161" i="6"/>
  <c r="J161" i="6" s="1"/>
  <c r="G161" i="6"/>
  <c r="H161" i="6" s="1"/>
  <c r="E161" i="6"/>
  <c r="F161" i="6" s="1"/>
  <c r="I157" i="6"/>
  <c r="G157" i="6"/>
  <c r="H157" i="6" s="1"/>
  <c r="H158" i="6" s="1"/>
  <c r="E157" i="6"/>
  <c r="F157" i="6" s="1"/>
  <c r="F158" i="6" s="1"/>
  <c r="E29" i="5" s="1"/>
  <c r="I153" i="6"/>
  <c r="J153" i="6" s="1"/>
  <c r="J154" i="6" s="1"/>
  <c r="G28" i="5" s="1"/>
  <c r="I263" i="4" s="1"/>
  <c r="J263" i="4" s="1"/>
  <c r="G153" i="6"/>
  <c r="E153" i="6"/>
  <c r="F153" i="6" s="1"/>
  <c r="F154" i="6" s="1"/>
  <c r="E28" i="5" s="1"/>
  <c r="E263" i="4" s="1"/>
  <c r="F263" i="4" s="1"/>
  <c r="I132" i="6"/>
  <c r="J132" i="6" s="1"/>
  <c r="E132" i="6"/>
  <c r="F132" i="6" s="1"/>
  <c r="J131" i="6"/>
  <c r="H131" i="6"/>
  <c r="I130" i="6"/>
  <c r="J130" i="6" s="1"/>
  <c r="I128" i="6"/>
  <c r="J128" i="6" s="1"/>
  <c r="E128" i="6"/>
  <c r="F128" i="6" s="1"/>
  <c r="I124" i="6"/>
  <c r="J124" i="6" s="1"/>
  <c r="J122" i="6"/>
  <c r="H122" i="6"/>
  <c r="I121" i="6"/>
  <c r="J121" i="6" s="1"/>
  <c r="G121" i="6"/>
  <c r="H121" i="6" s="1"/>
  <c r="E122" i="6" s="1"/>
  <c r="E121" i="6"/>
  <c r="F121" i="6" s="1"/>
  <c r="J117" i="6"/>
  <c r="H117" i="6"/>
  <c r="I116" i="6"/>
  <c r="E116" i="6"/>
  <c r="F116" i="6" s="1"/>
  <c r="I115" i="6"/>
  <c r="J115" i="6" s="1"/>
  <c r="G115" i="6"/>
  <c r="H115" i="6" s="1"/>
  <c r="E115" i="6"/>
  <c r="I100" i="6"/>
  <c r="J100" i="6" s="1"/>
  <c r="J102" i="6" s="1"/>
  <c r="G19" i="5" s="1"/>
  <c r="G100" i="6"/>
  <c r="H100" i="6" s="1"/>
  <c r="H102" i="6" s="1"/>
  <c r="F19" i="5" s="1"/>
  <c r="J95" i="6"/>
  <c r="H95" i="6"/>
  <c r="I94" i="6"/>
  <c r="J94" i="6" s="1"/>
  <c r="I89" i="6"/>
  <c r="J89" i="6" s="1"/>
  <c r="I88" i="6"/>
  <c r="J88" i="6" s="1"/>
  <c r="E88" i="6"/>
  <c r="I79" i="6"/>
  <c r="J79" i="6" s="1"/>
  <c r="E79" i="6"/>
  <c r="F79" i="6" s="1"/>
  <c r="I78" i="6"/>
  <c r="J78" i="6" s="1"/>
  <c r="G78" i="6"/>
  <c r="H78" i="6" s="1"/>
  <c r="E78" i="6"/>
  <c r="F78" i="6" s="1"/>
  <c r="J74" i="6"/>
  <c r="H74" i="6"/>
  <c r="I72" i="6"/>
  <c r="J72" i="6" s="1"/>
  <c r="G72" i="6"/>
  <c r="H72" i="6" s="1"/>
  <c r="E72" i="6"/>
  <c r="J60" i="6"/>
  <c r="H60" i="6"/>
  <c r="I59" i="6"/>
  <c r="J59" i="6" s="1"/>
  <c r="G59" i="6"/>
  <c r="H59" i="6" s="1"/>
  <c r="F59" i="6"/>
  <c r="K58" i="6"/>
  <c r="J58" i="6"/>
  <c r="H58" i="6"/>
  <c r="F58" i="6"/>
  <c r="K57" i="6"/>
  <c r="J57" i="6"/>
  <c r="H57" i="6"/>
  <c r="F57" i="6"/>
  <c r="K56" i="6"/>
  <c r="J56" i="6"/>
  <c r="H56" i="6"/>
  <c r="F56" i="6"/>
  <c r="J46" i="6"/>
  <c r="H46" i="6"/>
  <c r="E45" i="6"/>
  <c r="F45" i="6" s="1"/>
  <c r="E46" i="6" s="1"/>
  <c r="J40" i="6"/>
  <c r="H40" i="6"/>
  <c r="I27" i="6"/>
  <c r="J22" i="6"/>
  <c r="H22" i="6"/>
  <c r="J15" i="6"/>
  <c r="H15" i="6"/>
  <c r="H9" i="6"/>
  <c r="H10" i="6" s="1"/>
  <c r="F4" i="5" s="1"/>
  <c r="G6" i="4" s="1"/>
  <c r="H6" i="4" s="1"/>
  <c r="F9" i="6"/>
  <c r="F10" i="6" s="1"/>
  <c r="I6" i="6"/>
  <c r="J6" i="6" s="1"/>
  <c r="E6" i="6"/>
  <c r="F6" i="6" s="1"/>
  <c r="I56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K286" i="4"/>
  <c r="J286" i="4"/>
  <c r="H286" i="4"/>
  <c r="F286" i="4"/>
  <c r="K285" i="4"/>
  <c r="J285" i="4"/>
  <c r="H285" i="4"/>
  <c r="F285" i="4"/>
  <c r="K284" i="4"/>
  <c r="J284" i="4"/>
  <c r="H284" i="4"/>
  <c r="F284" i="4"/>
  <c r="K283" i="4"/>
  <c r="J283" i="4"/>
  <c r="H283" i="4"/>
  <c r="F283" i="4"/>
  <c r="K282" i="4"/>
  <c r="J282" i="4"/>
  <c r="H282" i="4"/>
  <c r="F282" i="4"/>
  <c r="K281" i="4"/>
  <c r="J281" i="4"/>
  <c r="H281" i="4"/>
  <c r="F281" i="4"/>
  <c r="K280" i="4"/>
  <c r="J280" i="4"/>
  <c r="H280" i="4"/>
  <c r="F280" i="4"/>
  <c r="K279" i="4"/>
  <c r="J279" i="4"/>
  <c r="H279" i="4"/>
  <c r="F279" i="4"/>
  <c r="K278" i="4"/>
  <c r="J278" i="4"/>
  <c r="H278" i="4"/>
  <c r="F278" i="4"/>
  <c r="K277" i="4"/>
  <c r="J277" i="4"/>
  <c r="H277" i="4"/>
  <c r="F277" i="4"/>
  <c r="L277" i="4" s="1"/>
  <c r="K276" i="4"/>
  <c r="J276" i="4"/>
  <c r="H276" i="4"/>
  <c r="F276" i="4"/>
  <c r="K275" i="4"/>
  <c r="J275" i="4"/>
  <c r="H275" i="4"/>
  <c r="F275" i="4"/>
  <c r="K274" i="4"/>
  <c r="J274" i="4"/>
  <c r="H274" i="4"/>
  <c r="F274" i="4"/>
  <c r="L274" i="4" s="1"/>
  <c r="K273" i="4"/>
  <c r="J273" i="4"/>
  <c r="H273" i="4"/>
  <c r="F273" i="4"/>
  <c r="K272" i="4"/>
  <c r="J272" i="4"/>
  <c r="H272" i="4"/>
  <c r="F272" i="4"/>
  <c r="K271" i="4"/>
  <c r="J271" i="4"/>
  <c r="H271" i="4"/>
  <c r="F271" i="4"/>
  <c r="K270" i="4"/>
  <c r="J270" i="4"/>
  <c r="H270" i="4"/>
  <c r="F270" i="4"/>
  <c r="K269" i="4"/>
  <c r="J269" i="4"/>
  <c r="H269" i="4"/>
  <c r="F269" i="4"/>
  <c r="K268" i="4"/>
  <c r="J268" i="4"/>
  <c r="H268" i="4"/>
  <c r="F268" i="4"/>
  <c r="K267" i="4"/>
  <c r="J267" i="4"/>
  <c r="H267" i="4"/>
  <c r="F267" i="4"/>
  <c r="K266" i="4"/>
  <c r="J266" i="4"/>
  <c r="H266" i="4"/>
  <c r="F266" i="4"/>
  <c r="N265" i="4"/>
  <c r="N264" i="4"/>
  <c r="N263" i="4"/>
  <c r="K260" i="4"/>
  <c r="J260" i="4"/>
  <c r="H260" i="4"/>
  <c r="F260" i="4"/>
  <c r="K259" i="4"/>
  <c r="J259" i="4"/>
  <c r="H259" i="4"/>
  <c r="F259" i="4"/>
  <c r="K258" i="4"/>
  <c r="J258" i="4"/>
  <c r="H258" i="4"/>
  <c r="F258" i="4"/>
  <c r="K257" i="4"/>
  <c r="J257" i="4"/>
  <c r="H257" i="4"/>
  <c r="F257" i="4"/>
  <c r="K256" i="4"/>
  <c r="J256" i="4"/>
  <c r="H256" i="4"/>
  <c r="F256" i="4"/>
  <c r="K255" i="4"/>
  <c r="J255" i="4"/>
  <c r="H255" i="4"/>
  <c r="F255" i="4"/>
  <c r="K254" i="4"/>
  <c r="J254" i="4"/>
  <c r="H254" i="4"/>
  <c r="F254" i="4"/>
  <c r="K253" i="4"/>
  <c r="J253" i="4"/>
  <c r="H253" i="4"/>
  <c r="F253" i="4"/>
  <c r="K252" i="4"/>
  <c r="J252" i="4"/>
  <c r="H252" i="4"/>
  <c r="F252" i="4"/>
  <c r="K251" i="4"/>
  <c r="J251" i="4"/>
  <c r="H251" i="4"/>
  <c r="F251" i="4"/>
  <c r="K250" i="4"/>
  <c r="J250" i="4"/>
  <c r="H250" i="4"/>
  <c r="F250" i="4"/>
  <c r="K249" i="4"/>
  <c r="J249" i="4"/>
  <c r="H249" i="4"/>
  <c r="F249" i="4"/>
  <c r="K248" i="4"/>
  <c r="J248" i="4"/>
  <c r="H248" i="4"/>
  <c r="F248" i="4"/>
  <c r="K247" i="4"/>
  <c r="J247" i="4"/>
  <c r="H247" i="4"/>
  <c r="F247" i="4"/>
  <c r="K246" i="4"/>
  <c r="J246" i="4"/>
  <c r="H246" i="4"/>
  <c r="F246" i="4"/>
  <c r="K245" i="4"/>
  <c r="J245" i="4"/>
  <c r="H245" i="4"/>
  <c r="F245" i="4"/>
  <c r="K244" i="4"/>
  <c r="J244" i="4"/>
  <c r="H244" i="4"/>
  <c r="F244" i="4"/>
  <c r="K243" i="4"/>
  <c r="J243" i="4"/>
  <c r="H243" i="4"/>
  <c r="F243" i="4"/>
  <c r="K242" i="4"/>
  <c r="J242" i="4"/>
  <c r="H242" i="4"/>
  <c r="F242" i="4"/>
  <c r="H241" i="4"/>
  <c r="F241" i="4"/>
  <c r="H240" i="4"/>
  <c r="F240" i="4"/>
  <c r="H239" i="4"/>
  <c r="F239" i="4"/>
  <c r="H238" i="4"/>
  <c r="F238" i="4"/>
  <c r="N237" i="4"/>
  <c r="J237" i="4"/>
  <c r="J261" i="4" s="1"/>
  <c r="I15" i="3" s="1"/>
  <c r="J15" i="3" s="1"/>
  <c r="H237" i="4"/>
  <c r="F237" i="4"/>
  <c r="K234" i="4"/>
  <c r="J234" i="4"/>
  <c r="H234" i="4"/>
  <c r="F234" i="4"/>
  <c r="K233" i="4"/>
  <c r="J233" i="4"/>
  <c r="H233" i="4"/>
  <c r="F233" i="4"/>
  <c r="K232" i="4"/>
  <c r="J232" i="4"/>
  <c r="H232" i="4"/>
  <c r="F232" i="4"/>
  <c r="K231" i="4"/>
  <c r="J231" i="4"/>
  <c r="H231" i="4"/>
  <c r="F231" i="4"/>
  <c r="K230" i="4"/>
  <c r="J230" i="4"/>
  <c r="H230" i="4"/>
  <c r="F230" i="4"/>
  <c r="K229" i="4"/>
  <c r="J229" i="4"/>
  <c r="H229" i="4"/>
  <c r="F229" i="4"/>
  <c r="K228" i="4"/>
  <c r="J228" i="4"/>
  <c r="H228" i="4"/>
  <c r="F228" i="4"/>
  <c r="K227" i="4"/>
  <c r="J227" i="4"/>
  <c r="H227" i="4"/>
  <c r="F227" i="4"/>
  <c r="K226" i="4"/>
  <c r="J226" i="4"/>
  <c r="H226" i="4"/>
  <c r="F226" i="4"/>
  <c r="K225" i="4"/>
  <c r="J225" i="4"/>
  <c r="H225" i="4"/>
  <c r="F225" i="4"/>
  <c r="K224" i="4"/>
  <c r="J224" i="4"/>
  <c r="H224" i="4"/>
  <c r="F224" i="4"/>
  <c r="K223" i="4"/>
  <c r="J223" i="4"/>
  <c r="H223" i="4"/>
  <c r="F223" i="4"/>
  <c r="K222" i="4"/>
  <c r="J222" i="4"/>
  <c r="H222" i="4"/>
  <c r="F222" i="4"/>
  <c r="K221" i="4"/>
  <c r="J221" i="4"/>
  <c r="H221" i="4"/>
  <c r="F221" i="4"/>
  <c r="K220" i="4"/>
  <c r="J220" i="4"/>
  <c r="H220" i="4"/>
  <c r="F220" i="4"/>
  <c r="K219" i="4"/>
  <c r="J219" i="4"/>
  <c r="H219" i="4"/>
  <c r="F219" i="4"/>
  <c r="K218" i="4"/>
  <c r="J218" i="4"/>
  <c r="H218" i="4"/>
  <c r="F218" i="4"/>
  <c r="J217" i="4"/>
  <c r="H217" i="4"/>
  <c r="N210" i="4"/>
  <c r="I210" i="4"/>
  <c r="J210" i="4" s="1"/>
  <c r="K207" i="4"/>
  <c r="J207" i="4"/>
  <c r="H207" i="4"/>
  <c r="F207" i="4"/>
  <c r="K206" i="4"/>
  <c r="J206" i="4"/>
  <c r="H206" i="4"/>
  <c r="F206" i="4"/>
  <c r="K205" i="4"/>
  <c r="J205" i="4"/>
  <c r="H205" i="4"/>
  <c r="F205" i="4"/>
  <c r="K204" i="4"/>
  <c r="J204" i="4"/>
  <c r="H204" i="4"/>
  <c r="F204" i="4"/>
  <c r="K203" i="4"/>
  <c r="J203" i="4"/>
  <c r="H203" i="4"/>
  <c r="F203" i="4"/>
  <c r="K202" i="4"/>
  <c r="J202" i="4"/>
  <c r="H202" i="4"/>
  <c r="F202" i="4"/>
  <c r="K201" i="4"/>
  <c r="J201" i="4"/>
  <c r="H201" i="4"/>
  <c r="F201" i="4"/>
  <c r="K200" i="4"/>
  <c r="J200" i="4"/>
  <c r="H200" i="4"/>
  <c r="F200" i="4"/>
  <c r="K199" i="4"/>
  <c r="J199" i="4"/>
  <c r="H199" i="4"/>
  <c r="F199" i="4"/>
  <c r="K198" i="4"/>
  <c r="J198" i="4"/>
  <c r="H198" i="4"/>
  <c r="F198" i="4"/>
  <c r="K197" i="4"/>
  <c r="J197" i="4"/>
  <c r="H197" i="4"/>
  <c r="F197" i="4"/>
  <c r="K196" i="4"/>
  <c r="J196" i="4"/>
  <c r="H196" i="4"/>
  <c r="F196" i="4"/>
  <c r="K195" i="4"/>
  <c r="J195" i="4"/>
  <c r="H195" i="4"/>
  <c r="F195" i="4"/>
  <c r="K194" i="4"/>
  <c r="J194" i="4"/>
  <c r="H194" i="4"/>
  <c r="F194" i="4"/>
  <c r="K193" i="4"/>
  <c r="J193" i="4"/>
  <c r="H193" i="4"/>
  <c r="F193" i="4"/>
  <c r="K192" i="4"/>
  <c r="J192" i="4"/>
  <c r="H192" i="4"/>
  <c r="F192" i="4"/>
  <c r="N184" i="4"/>
  <c r="K181" i="4"/>
  <c r="J181" i="4"/>
  <c r="H181" i="4"/>
  <c r="F181" i="4"/>
  <c r="K180" i="4"/>
  <c r="J180" i="4"/>
  <c r="H180" i="4"/>
  <c r="F180" i="4"/>
  <c r="K179" i="4"/>
  <c r="J179" i="4"/>
  <c r="H179" i="4"/>
  <c r="F179" i="4"/>
  <c r="K178" i="4"/>
  <c r="J178" i="4"/>
  <c r="H178" i="4"/>
  <c r="F178" i="4"/>
  <c r="K177" i="4"/>
  <c r="J177" i="4"/>
  <c r="H177" i="4"/>
  <c r="F177" i="4"/>
  <c r="K176" i="4"/>
  <c r="J176" i="4"/>
  <c r="H176" i="4"/>
  <c r="F176" i="4"/>
  <c r="K175" i="4"/>
  <c r="J175" i="4"/>
  <c r="H175" i="4"/>
  <c r="F175" i="4"/>
  <c r="K174" i="4"/>
  <c r="J174" i="4"/>
  <c r="H174" i="4"/>
  <c r="F174" i="4"/>
  <c r="K173" i="4"/>
  <c r="J173" i="4"/>
  <c r="H173" i="4"/>
  <c r="F173" i="4"/>
  <c r="K172" i="4"/>
  <c r="J172" i="4"/>
  <c r="H172" i="4"/>
  <c r="F172" i="4"/>
  <c r="K171" i="4"/>
  <c r="J171" i="4"/>
  <c r="H171" i="4"/>
  <c r="F171" i="4"/>
  <c r="K170" i="4"/>
  <c r="J170" i="4"/>
  <c r="H170" i="4"/>
  <c r="F170" i="4"/>
  <c r="K169" i="4"/>
  <c r="J169" i="4"/>
  <c r="H169" i="4"/>
  <c r="F169" i="4"/>
  <c r="K168" i="4"/>
  <c r="J168" i="4"/>
  <c r="H168" i="4"/>
  <c r="F168" i="4"/>
  <c r="K167" i="4"/>
  <c r="J167" i="4"/>
  <c r="H167" i="4"/>
  <c r="F167" i="4"/>
  <c r="K166" i="4"/>
  <c r="J166" i="4"/>
  <c r="H166" i="4"/>
  <c r="F166" i="4"/>
  <c r="K165" i="4"/>
  <c r="J165" i="4"/>
  <c r="H165" i="4"/>
  <c r="F165" i="4"/>
  <c r="K164" i="4"/>
  <c r="J164" i="4"/>
  <c r="H164" i="4"/>
  <c r="F164" i="4"/>
  <c r="K163" i="4"/>
  <c r="J163" i="4"/>
  <c r="H163" i="4"/>
  <c r="F163" i="4"/>
  <c r="K162" i="4"/>
  <c r="J162" i="4"/>
  <c r="H162" i="4"/>
  <c r="F162" i="4"/>
  <c r="K161" i="4"/>
  <c r="J161" i="4"/>
  <c r="H161" i="4"/>
  <c r="F161" i="4"/>
  <c r="K160" i="4"/>
  <c r="J160" i="4"/>
  <c r="H160" i="4"/>
  <c r="F160" i="4"/>
  <c r="K159" i="4"/>
  <c r="J159" i="4"/>
  <c r="H159" i="4"/>
  <c r="F159" i="4"/>
  <c r="N158" i="4"/>
  <c r="K155" i="4"/>
  <c r="J155" i="4"/>
  <c r="H155" i="4"/>
  <c r="F155" i="4"/>
  <c r="K154" i="4"/>
  <c r="J154" i="4"/>
  <c r="H154" i="4"/>
  <c r="F154" i="4"/>
  <c r="K153" i="4"/>
  <c r="J153" i="4"/>
  <c r="H153" i="4"/>
  <c r="F153" i="4"/>
  <c r="K152" i="4"/>
  <c r="J152" i="4"/>
  <c r="H152" i="4"/>
  <c r="F152" i="4"/>
  <c r="K151" i="4"/>
  <c r="J151" i="4"/>
  <c r="H151" i="4"/>
  <c r="F151" i="4"/>
  <c r="K150" i="4"/>
  <c r="J150" i="4"/>
  <c r="H150" i="4"/>
  <c r="F150" i="4"/>
  <c r="K149" i="4"/>
  <c r="J149" i="4"/>
  <c r="H149" i="4"/>
  <c r="F149" i="4"/>
  <c r="K148" i="4"/>
  <c r="J148" i="4"/>
  <c r="H148" i="4"/>
  <c r="F148" i="4"/>
  <c r="K147" i="4"/>
  <c r="J147" i="4"/>
  <c r="H147" i="4"/>
  <c r="F147" i="4"/>
  <c r="N142" i="4"/>
  <c r="N141" i="4"/>
  <c r="N140" i="4"/>
  <c r="I140" i="4"/>
  <c r="J140" i="4" s="1"/>
  <c r="N139" i="4"/>
  <c r="N138" i="4"/>
  <c r="N137" i="4"/>
  <c r="N136" i="4"/>
  <c r="N135" i="4"/>
  <c r="N134" i="4"/>
  <c r="E134" i="4"/>
  <c r="N133" i="4"/>
  <c r="N132" i="4"/>
  <c r="I132" i="4"/>
  <c r="J132" i="4" s="1"/>
  <c r="E132" i="4"/>
  <c r="F132" i="4" s="1"/>
  <c r="K129" i="4"/>
  <c r="J129" i="4"/>
  <c r="H129" i="4"/>
  <c r="F129" i="4"/>
  <c r="K128" i="4"/>
  <c r="J128" i="4"/>
  <c r="H128" i="4"/>
  <c r="F128" i="4"/>
  <c r="K127" i="4"/>
  <c r="J127" i="4"/>
  <c r="H127" i="4"/>
  <c r="F127" i="4"/>
  <c r="K126" i="4"/>
  <c r="J126" i="4"/>
  <c r="H126" i="4"/>
  <c r="F126" i="4"/>
  <c r="K125" i="4"/>
  <c r="J125" i="4"/>
  <c r="H125" i="4"/>
  <c r="F125" i="4"/>
  <c r="K124" i="4"/>
  <c r="J124" i="4"/>
  <c r="H124" i="4"/>
  <c r="F124" i="4"/>
  <c r="K123" i="4"/>
  <c r="J123" i="4"/>
  <c r="H123" i="4"/>
  <c r="F123" i="4"/>
  <c r="K122" i="4"/>
  <c r="J122" i="4"/>
  <c r="H122" i="4"/>
  <c r="F122" i="4"/>
  <c r="K121" i="4"/>
  <c r="J121" i="4"/>
  <c r="H121" i="4"/>
  <c r="F121" i="4"/>
  <c r="K120" i="4"/>
  <c r="J120" i="4"/>
  <c r="H120" i="4"/>
  <c r="F120" i="4"/>
  <c r="K119" i="4"/>
  <c r="J119" i="4"/>
  <c r="H119" i="4"/>
  <c r="F119" i="4"/>
  <c r="K118" i="4"/>
  <c r="J118" i="4"/>
  <c r="H118" i="4"/>
  <c r="F118" i="4"/>
  <c r="K117" i="4"/>
  <c r="J117" i="4"/>
  <c r="H117" i="4"/>
  <c r="F117" i="4"/>
  <c r="K116" i="4"/>
  <c r="J116" i="4"/>
  <c r="H116" i="4"/>
  <c r="F116" i="4"/>
  <c r="K115" i="4"/>
  <c r="J115" i="4"/>
  <c r="H115" i="4"/>
  <c r="F115" i="4"/>
  <c r="K114" i="4"/>
  <c r="J114" i="4"/>
  <c r="H114" i="4"/>
  <c r="F114" i="4"/>
  <c r="K113" i="4"/>
  <c r="J113" i="4"/>
  <c r="H113" i="4"/>
  <c r="F113" i="4"/>
  <c r="K112" i="4"/>
  <c r="J112" i="4"/>
  <c r="H112" i="4"/>
  <c r="F112" i="4"/>
  <c r="N108" i="4"/>
  <c r="K105" i="4"/>
  <c r="J105" i="4"/>
  <c r="H105" i="4"/>
  <c r="F105" i="4"/>
  <c r="K104" i="4"/>
  <c r="J104" i="4"/>
  <c r="H104" i="4"/>
  <c r="F104" i="4"/>
  <c r="K103" i="4"/>
  <c r="J103" i="4"/>
  <c r="H103" i="4"/>
  <c r="F103" i="4"/>
  <c r="K102" i="4"/>
  <c r="J102" i="4"/>
  <c r="H102" i="4"/>
  <c r="F102" i="4"/>
  <c r="K101" i="4"/>
  <c r="J101" i="4"/>
  <c r="H101" i="4"/>
  <c r="F101" i="4"/>
  <c r="K100" i="4"/>
  <c r="J100" i="4"/>
  <c r="H100" i="4"/>
  <c r="F100" i="4"/>
  <c r="K99" i="4"/>
  <c r="J99" i="4"/>
  <c r="H99" i="4"/>
  <c r="F99" i="4"/>
  <c r="K98" i="4"/>
  <c r="J98" i="4"/>
  <c r="H98" i="4"/>
  <c r="F98" i="4"/>
  <c r="K97" i="4"/>
  <c r="J97" i="4"/>
  <c r="H97" i="4"/>
  <c r="F97" i="4"/>
  <c r="K96" i="4"/>
  <c r="J96" i="4"/>
  <c r="H96" i="4"/>
  <c r="F96" i="4"/>
  <c r="N92" i="4"/>
  <c r="N91" i="4"/>
  <c r="N90" i="4"/>
  <c r="N89" i="4"/>
  <c r="N86" i="4"/>
  <c r="N85" i="4"/>
  <c r="N84" i="4"/>
  <c r="I84" i="4"/>
  <c r="J84" i="4" s="1"/>
  <c r="G84" i="4"/>
  <c r="H84" i="4" s="1"/>
  <c r="E84" i="4"/>
  <c r="F84" i="4" s="1"/>
  <c r="N83" i="4"/>
  <c r="K80" i="4"/>
  <c r="J80" i="4"/>
  <c r="H80" i="4"/>
  <c r="F80" i="4"/>
  <c r="K79" i="4"/>
  <c r="J79" i="4"/>
  <c r="H79" i="4"/>
  <c r="F79" i="4"/>
  <c r="K78" i="4"/>
  <c r="J78" i="4"/>
  <c r="H78" i="4"/>
  <c r="F78" i="4"/>
  <c r="K77" i="4"/>
  <c r="J77" i="4"/>
  <c r="H77" i="4"/>
  <c r="F77" i="4"/>
  <c r="K76" i="4"/>
  <c r="J76" i="4"/>
  <c r="H76" i="4"/>
  <c r="F76" i="4"/>
  <c r="K75" i="4"/>
  <c r="J75" i="4"/>
  <c r="H75" i="4"/>
  <c r="F75" i="4"/>
  <c r="K74" i="4"/>
  <c r="J74" i="4"/>
  <c r="H74" i="4"/>
  <c r="F74" i="4"/>
  <c r="K73" i="4"/>
  <c r="J73" i="4"/>
  <c r="H73" i="4"/>
  <c r="F73" i="4"/>
  <c r="K72" i="4"/>
  <c r="J72" i="4"/>
  <c r="H72" i="4"/>
  <c r="F72" i="4"/>
  <c r="K71" i="4"/>
  <c r="J71" i="4"/>
  <c r="H71" i="4"/>
  <c r="F71" i="4"/>
  <c r="K70" i="4"/>
  <c r="J70" i="4"/>
  <c r="H70" i="4"/>
  <c r="F70" i="4"/>
  <c r="K69" i="4"/>
  <c r="J69" i="4"/>
  <c r="H69" i="4"/>
  <c r="F69" i="4"/>
  <c r="K68" i="4"/>
  <c r="J68" i="4"/>
  <c r="H68" i="4"/>
  <c r="F68" i="4"/>
  <c r="K67" i="4"/>
  <c r="J67" i="4"/>
  <c r="H67" i="4"/>
  <c r="F67" i="4"/>
  <c r="K66" i="4"/>
  <c r="J66" i="4"/>
  <c r="H66" i="4"/>
  <c r="F66" i="4"/>
  <c r="K65" i="4"/>
  <c r="J65" i="4"/>
  <c r="H65" i="4"/>
  <c r="F65" i="4"/>
  <c r="K64" i="4"/>
  <c r="J64" i="4"/>
  <c r="H64" i="4"/>
  <c r="F64" i="4"/>
  <c r="N63" i="4"/>
  <c r="N62" i="4"/>
  <c r="N61" i="4"/>
  <c r="I61" i="4"/>
  <c r="J61" i="4" s="1"/>
  <c r="G61" i="4"/>
  <c r="H61" i="4" s="1"/>
  <c r="E61" i="4"/>
  <c r="N60" i="4"/>
  <c r="N59" i="4"/>
  <c r="I59" i="4"/>
  <c r="J59" i="4" s="1"/>
  <c r="G59" i="4"/>
  <c r="H59" i="4" s="1"/>
  <c r="E59" i="4"/>
  <c r="N58" i="4"/>
  <c r="K55" i="4"/>
  <c r="J55" i="4"/>
  <c r="H55" i="4"/>
  <c r="F55" i="4"/>
  <c r="K54" i="4"/>
  <c r="J54" i="4"/>
  <c r="H54" i="4"/>
  <c r="F54" i="4"/>
  <c r="K53" i="4"/>
  <c r="J53" i="4"/>
  <c r="H53" i="4"/>
  <c r="F53" i="4"/>
  <c r="K52" i="4"/>
  <c r="J52" i="4"/>
  <c r="H52" i="4"/>
  <c r="F52" i="4"/>
  <c r="K51" i="4"/>
  <c r="J51" i="4"/>
  <c r="H51" i="4"/>
  <c r="F51" i="4"/>
  <c r="K50" i="4"/>
  <c r="J50" i="4"/>
  <c r="H50" i="4"/>
  <c r="F50" i="4"/>
  <c r="K49" i="4"/>
  <c r="J49" i="4"/>
  <c r="H49" i="4"/>
  <c r="F49" i="4"/>
  <c r="K48" i="4"/>
  <c r="J48" i="4"/>
  <c r="H48" i="4"/>
  <c r="F48" i="4"/>
  <c r="K47" i="4"/>
  <c r="J47" i="4"/>
  <c r="H47" i="4"/>
  <c r="F47" i="4"/>
  <c r="K46" i="4"/>
  <c r="J46" i="4"/>
  <c r="H46" i="4"/>
  <c r="F46" i="4"/>
  <c r="K45" i="4"/>
  <c r="J45" i="4"/>
  <c r="H45" i="4"/>
  <c r="F45" i="4"/>
  <c r="K44" i="4"/>
  <c r="J44" i="4"/>
  <c r="H44" i="4"/>
  <c r="F44" i="4"/>
  <c r="K43" i="4"/>
  <c r="J43" i="4"/>
  <c r="H43" i="4"/>
  <c r="F43" i="4"/>
  <c r="K42" i="4"/>
  <c r="J42" i="4"/>
  <c r="H42" i="4"/>
  <c r="F42" i="4"/>
  <c r="K41" i="4"/>
  <c r="J41" i="4"/>
  <c r="H41" i="4"/>
  <c r="F41" i="4"/>
  <c r="K40" i="4"/>
  <c r="J40" i="4"/>
  <c r="H40" i="4"/>
  <c r="F40" i="4"/>
  <c r="K39" i="4"/>
  <c r="J39" i="4"/>
  <c r="H39" i="4"/>
  <c r="F39" i="4"/>
  <c r="K38" i="4"/>
  <c r="J38" i="4"/>
  <c r="H38" i="4"/>
  <c r="F38" i="4"/>
  <c r="K37" i="4"/>
  <c r="J37" i="4"/>
  <c r="H37" i="4"/>
  <c r="F37" i="4"/>
  <c r="K36" i="4"/>
  <c r="J36" i="4"/>
  <c r="H36" i="4"/>
  <c r="F36" i="4"/>
  <c r="K35" i="4"/>
  <c r="J35" i="4"/>
  <c r="H35" i="4"/>
  <c r="F35" i="4"/>
  <c r="K34" i="4"/>
  <c r="J34" i="4"/>
  <c r="H34" i="4"/>
  <c r="F34" i="4"/>
  <c r="N32" i="4"/>
  <c r="K29" i="4"/>
  <c r="J29" i="4"/>
  <c r="H29" i="4"/>
  <c r="F29" i="4"/>
  <c r="K28" i="4"/>
  <c r="J28" i="4"/>
  <c r="H28" i="4"/>
  <c r="F28" i="4"/>
  <c r="K27" i="4"/>
  <c r="J27" i="4"/>
  <c r="H27" i="4"/>
  <c r="F27" i="4"/>
  <c r="K26" i="4"/>
  <c r="J26" i="4"/>
  <c r="H26" i="4"/>
  <c r="F26" i="4"/>
  <c r="K25" i="4"/>
  <c r="J25" i="4"/>
  <c r="H25" i="4"/>
  <c r="F25" i="4"/>
  <c r="K24" i="4"/>
  <c r="J24" i="4"/>
  <c r="H24" i="4"/>
  <c r="F24" i="4"/>
  <c r="K23" i="4"/>
  <c r="J23" i="4"/>
  <c r="H23" i="4"/>
  <c r="F23" i="4"/>
  <c r="K22" i="4"/>
  <c r="J22" i="4"/>
  <c r="H22" i="4"/>
  <c r="F22" i="4"/>
  <c r="K21" i="4"/>
  <c r="J21" i="4"/>
  <c r="H21" i="4"/>
  <c r="F21" i="4"/>
  <c r="K20" i="4"/>
  <c r="J20" i="4"/>
  <c r="H20" i="4"/>
  <c r="F20" i="4"/>
  <c r="K19" i="4"/>
  <c r="J19" i="4"/>
  <c r="H19" i="4"/>
  <c r="F19" i="4"/>
  <c r="K18" i="4"/>
  <c r="J18" i="4"/>
  <c r="H18" i="4"/>
  <c r="F18" i="4"/>
  <c r="K17" i="4"/>
  <c r="J17" i="4"/>
  <c r="H17" i="4"/>
  <c r="F17" i="4"/>
  <c r="K16" i="4"/>
  <c r="J16" i="4"/>
  <c r="H16" i="4"/>
  <c r="F16" i="4"/>
  <c r="K15" i="4"/>
  <c r="J15" i="4"/>
  <c r="H15" i="4"/>
  <c r="F15" i="4"/>
  <c r="K14" i="4"/>
  <c r="J14" i="4"/>
  <c r="H14" i="4"/>
  <c r="F14" i="4"/>
  <c r="K13" i="4"/>
  <c r="J13" i="4"/>
  <c r="H13" i="4"/>
  <c r="F13" i="4"/>
  <c r="K12" i="4"/>
  <c r="J12" i="4"/>
  <c r="H12" i="4"/>
  <c r="F12" i="4"/>
  <c r="K11" i="4"/>
  <c r="J11" i="4"/>
  <c r="H11" i="4"/>
  <c r="F11" i="4"/>
  <c r="K10" i="4"/>
  <c r="J10" i="4"/>
  <c r="H10" i="4"/>
  <c r="F10" i="4"/>
  <c r="K9" i="4"/>
  <c r="J9" i="4"/>
  <c r="H9" i="4"/>
  <c r="F9" i="4"/>
  <c r="K8" i="4"/>
  <c r="J8" i="4"/>
  <c r="H8" i="4"/>
  <c r="F8" i="4"/>
  <c r="N7" i="4"/>
  <c r="N6" i="4"/>
  <c r="J235" i="4" l="1"/>
  <c r="I14" i="3" s="1"/>
  <c r="J14" i="3" s="1"/>
  <c r="E39" i="6"/>
  <c r="F39" i="6" s="1"/>
  <c r="I187" i="6"/>
  <c r="J187" i="6" s="1"/>
  <c r="I39" i="6"/>
  <c r="I129" i="6"/>
  <c r="J129" i="6" s="1"/>
  <c r="I322" i="6"/>
  <c r="J322" i="6" s="1"/>
  <c r="I14" i="6"/>
  <c r="J14" i="6" s="1"/>
  <c r="I73" i="6"/>
  <c r="G227" i="6"/>
  <c r="H227" i="6" s="1"/>
  <c r="I305" i="6"/>
  <c r="J305" i="6" s="1"/>
  <c r="I176" i="6"/>
  <c r="J176" i="6" s="1"/>
  <c r="J177" i="6" s="1"/>
  <c r="G32" i="5" s="1"/>
  <c r="I145" i="6" s="1"/>
  <c r="J145" i="6" s="1"/>
  <c r="J146" i="6" s="1"/>
  <c r="G26" i="5" s="1"/>
  <c r="I158" i="4" s="1"/>
  <c r="J158" i="4" s="1"/>
  <c r="J182" i="4" s="1"/>
  <c r="I12" i="3" s="1"/>
  <c r="J12" i="3" s="1"/>
  <c r="I149" i="6"/>
  <c r="J149" i="6" s="1"/>
  <c r="J150" i="6" s="1"/>
  <c r="G27" i="5" s="1"/>
  <c r="I184" i="4" s="1"/>
  <c r="J184" i="4" s="1"/>
  <c r="J208" i="4" s="1"/>
  <c r="I181" i="6"/>
  <c r="J181" i="6" s="1"/>
  <c r="I212" i="6"/>
  <c r="J212" i="6" s="1"/>
  <c r="J215" i="6" s="1"/>
  <c r="G38" i="5" s="1"/>
  <c r="I28" i="6" s="1"/>
  <c r="J28" i="6" s="1"/>
  <c r="G139" i="6"/>
  <c r="H139" i="6" s="1"/>
  <c r="L139" i="6" s="1"/>
  <c r="G343" i="6"/>
  <c r="G350" i="6"/>
  <c r="G138" i="6"/>
  <c r="H138" i="6" s="1"/>
  <c r="G345" i="6"/>
  <c r="G351" i="6"/>
  <c r="L241" i="4"/>
  <c r="I38" i="6"/>
  <c r="J38" i="6" s="1"/>
  <c r="I233" i="6"/>
  <c r="J233" i="6" s="1"/>
  <c r="H344" i="6"/>
  <c r="L344" i="6" s="1"/>
  <c r="K344" i="6"/>
  <c r="L245" i="4"/>
  <c r="L248" i="4"/>
  <c r="L273" i="4"/>
  <c r="L276" i="4"/>
  <c r="G302" i="6"/>
  <c r="E93" i="6"/>
  <c r="F93" i="6" s="1"/>
  <c r="E304" i="6"/>
  <c r="E226" i="6"/>
  <c r="F226" i="6" s="1"/>
  <c r="G87" i="4"/>
  <c r="H87" i="4" s="1"/>
  <c r="L239" i="4"/>
  <c r="E274" i="6"/>
  <c r="F138" i="6"/>
  <c r="I274" i="6"/>
  <c r="J274" i="6" s="1"/>
  <c r="E302" i="6"/>
  <c r="F302" i="6" s="1"/>
  <c r="L240" i="4"/>
  <c r="L244" i="4"/>
  <c r="L247" i="4"/>
  <c r="L250" i="4"/>
  <c r="L259" i="4"/>
  <c r="L41" i="4"/>
  <c r="L119" i="4"/>
  <c r="E219" i="6"/>
  <c r="F219" i="6" s="1"/>
  <c r="F266" i="6"/>
  <c r="I219" i="6"/>
  <c r="J219" i="6" s="1"/>
  <c r="J222" i="6" s="1"/>
  <c r="G39" i="5" s="1"/>
  <c r="I33" i="6" s="1"/>
  <c r="J33" i="6" s="1"/>
  <c r="J35" i="6" s="1"/>
  <c r="E242" i="6"/>
  <c r="F242" i="6" s="1"/>
  <c r="G272" i="6"/>
  <c r="H272" i="6" s="1"/>
  <c r="G266" i="6"/>
  <c r="H266" i="6" s="1"/>
  <c r="H268" i="6" s="1"/>
  <c r="F46" i="5" s="1"/>
  <c r="G140" i="6" s="1"/>
  <c r="H140" i="6" s="1"/>
  <c r="H141" i="6" s="1"/>
  <c r="F25" i="5" s="1"/>
  <c r="E212" i="6"/>
  <c r="F212" i="6" s="1"/>
  <c r="I242" i="6"/>
  <c r="J242" i="6" s="1"/>
  <c r="G212" i="6"/>
  <c r="H212" i="6" s="1"/>
  <c r="G38" i="6"/>
  <c r="H38" i="6" s="1"/>
  <c r="G274" i="6"/>
  <c r="H274" i="6" s="1"/>
  <c r="H275" i="6" s="1"/>
  <c r="F47" i="5" s="1"/>
  <c r="G21" i="6" s="1"/>
  <c r="H21" i="6" s="1"/>
  <c r="G233" i="6"/>
  <c r="G242" i="6"/>
  <c r="G66" i="6"/>
  <c r="H66" i="6" s="1"/>
  <c r="G88" i="4"/>
  <c r="I87" i="4"/>
  <c r="J87" i="4" s="1"/>
  <c r="I66" i="6"/>
  <c r="J66" i="6" s="1"/>
  <c r="I88" i="4"/>
  <c r="J88" i="4" s="1"/>
  <c r="G226" i="6"/>
  <c r="H226" i="6" s="1"/>
  <c r="G296" i="6"/>
  <c r="H296" i="6" s="1"/>
  <c r="I297" i="6"/>
  <c r="J297" i="6" s="1"/>
  <c r="E186" i="6"/>
  <c r="F186" i="6" s="1"/>
  <c r="E240" i="6"/>
  <c r="F240" i="6" s="1"/>
  <c r="G303" i="6"/>
  <c r="H303" i="6" s="1"/>
  <c r="G333" i="6"/>
  <c r="G162" i="6"/>
  <c r="H162" i="6" s="1"/>
  <c r="G332" i="6"/>
  <c r="H65" i="6"/>
  <c r="G67" i="6"/>
  <c r="E87" i="4"/>
  <c r="F87" i="4" s="1"/>
  <c r="E65" i="6"/>
  <c r="F65" i="6" s="1"/>
  <c r="L257" i="4"/>
  <c r="L153" i="4"/>
  <c r="L227" i="4"/>
  <c r="L233" i="4"/>
  <c r="L238" i="4"/>
  <c r="L67" i="4"/>
  <c r="L167" i="4"/>
  <c r="L223" i="4"/>
  <c r="H261" i="4"/>
  <c r="G15" i="3" s="1"/>
  <c r="H15" i="3" s="1"/>
  <c r="E94" i="6"/>
  <c r="F94" i="6" s="1"/>
  <c r="E187" i="6"/>
  <c r="F187" i="6" s="1"/>
  <c r="E20" i="6"/>
  <c r="F20" i="6" s="1"/>
  <c r="E149" i="6"/>
  <c r="F149" i="6" s="1"/>
  <c r="F150" i="6" s="1"/>
  <c r="E27" i="5" s="1"/>
  <c r="E184" i="4" s="1"/>
  <c r="F184" i="4" s="1"/>
  <c r="F208" i="4" s="1"/>
  <c r="E227" i="6"/>
  <c r="F227" i="6" s="1"/>
  <c r="E290" i="6"/>
  <c r="F290" i="6" s="1"/>
  <c r="E129" i="6"/>
  <c r="F129" i="6" s="1"/>
  <c r="E176" i="6"/>
  <c r="F176" i="6" s="1"/>
  <c r="G291" i="6"/>
  <c r="H291" i="6" s="1"/>
  <c r="E27" i="6"/>
  <c r="F27" i="6" s="1"/>
  <c r="E89" i="6"/>
  <c r="F89" i="6" s="1"/>
  <c r="E181" i="6"/>
  <c r="F181" i="6" s="1"/>
  <c r="E251" i="6"/>
  <c r="F251" i="6" s="1"/>
  <c r="L251" i="6" s="1"/>
  <c r="E73" i="6"/>
  <c r="F73" i="6" s="1"/>
  <c r="E206" i="6"/>
  <c r="E14" i="6"/>
  <c r="F14" i="6" s="1"/>
  <c r="F16" i="6" s="1"/>
  <c r="G27" i="6"/>
  <c r="H27" i="6" s="1"/>
  <c r="G94" i="6"/>
  <c r="H94" i="6" s="1"/>
  <c r="E95" i="6" s="1"/>
  <c r="G181" i="6"/>
  <c r="H181" i="6" s="1"/>
  <c r="I182" i="6" s="1"/>
  <c r="G305" i="6"/>
  <c r="H305" i="6" s="1"/>
  <c r="G129" i="6"/>
  <c r="G258" i="6"/>
  <c r="H258" i="6" s="1"/>
  <c r="L258" i="6" s="1"/>
  <c r="G39" i="6"/>
  <c r="H39" i="6" s="1"/>
  <c r="G73" i="6"/>
  <c r="H73" i="6" s="1"/>
  <c r="H75" i="6" s="1"/>
  <c r="F14" i="5" s="1"/>
  <c r="G89" i="4" s="1"/>
  <c r="H89" i="4" s="1"/>
  <c r="G89" i="6"/>
  <c r="H89" i="6" s="1"/>
  <c r="H90" i="6" s="1"/>
  <c r="F17" i="5" s="1"/>
  <c r="G108" i="4" s="1"/>
  <c r="H108" i="4" s="1"/>
  <c r="G149" i="6"/>
  <c r="H149" i="6" s="1"/>
  <c r="G206" i="6"/>
  <c r="H206" i="6" s="1"/>
  <c r="G20" i="6"/>
  <c r="H20" i="6" s="1"/>
  <c r="G186" i="6"/>
  <c r="H186" i="6" s="1"/>
  <c r="G317" i="6"/>
  <c r="H317" i="6" s="1"/>
  <c r="H318" i="6" s="1"/>
  <c r="F55" i="5" s="1"/>
  <c r="G68" i="6" s="1"/>
  <c r="H68" i="6" s="1"/>
  <c r="G322" i="6"/>
  <c r="H322" i="6" s="1"/>
  <c r="E323" i="6" s="1"/>
  <c r="G176" i="6"/>
  <c r="H176" i="6" s="1"/>
  <c r="G187" i="6"/>
  <c r="H187" i="6" s="1"/>
  <c r="E252" i="6"/>
  <c r="E272" i="6"/>
  <c r="F272" i="6" s="1"/>
  <c r="E273" i="6" s="1"/>
  <c r="E286" i="6"/>
  <c r="G14" i="6"/>
  <c r="H14" i="6" s="1"/>
  <c r="H16" i="6" s="1"/>
  <c r="F5" i="5" s="1"/>
  <c r="G7" i="4" s="1"/>
  <c r="H7" i="4" s="1"/>
  <c r="E234" i="6"/>
  <c r="F234" i="6" s="1"/>
  <c r="E235" i="6" s="1"/>
  <c r="F235" i="6" s="1"/>
  <c r="L235" i="6" s="1"/>
  <c r="G252" i="6"/>
  <c r="H252" i="6" s="1"/>
  <c r="G286" i="6"/>
  <c r="H286" i="6" s="1"/>
  <c r="H287" i="6" s="1"/>
  <c r="F50" i="5" s="1"/>
  <c r="G298" i="6" s="1"/>
  <c r="H298" i="6" s="1"/>
  <c r="H299" i="6" s="1"/>
  <c r="F52" i="5" s="1"/>
  <c r="G133" i="6" s="1"/>
  <c r="H133" i="6" s="1"/>
  <c r="L80" i="4"/>
  <c r="L166" i="4"/>
  <c r="L112" i="4"/>
  <c r="L24" i="4"/>
  <c r="L34" i="4"/>
  <c r="L78" i="4"/>
  <c r="L101" i="4"/>
  <c r="L170" i="4"/>
  <c r="L280" i="4"/>
  <c r="L232" i="4"/>
  <c r="L100" i="4"/>
  <c r="L103" i="4"/>
  <c r="L281" i="4"/>
  <c r="L14" i="4"/>
  <c r="L20" i="4"/>
  <c r="L26" i="4"/>
  <c r="L128" i="4"/>
  <c r="L272" i="4"/>
  <c r="L159" i="4"/>
  <c r="L220" i="4"/>
  <c r="L282" i="4"/>
  <c r="L74" i="4"/>
  <c r="L171" i="4"/>
  <c r="L174" i="4"/>
  <c r="L27" i="4"/>
  <c r="K61" i="4"/>
  <c r="L120" i="4"/>
  <c r="L123" i="4"/>
  <c r="L243" i="4"/>
  <c r="L255" i="4"/>
  <c r="L198" i="4"/>
  <c r="L55" i="4"/>
  <c r="L66" i="4"/>
  <c r="L151" i="4"/>
  <c r="L154" i="4"/>
  <c r="L268" i="4"/>
  <c r="L266" i="4"/>
  <c r="L38" i="4"/>
  <c r="L36" i="4"/>
  <c r="L42" i="4"/>
  <c r="L45" i="4"/>
  <c r="L79" i="4"/>
  <c r="L116" i="4"/>
  <c r="L164" i="4"/>
  <c r="L205" i="4"/>
  <c r="L270" i="4"/>
  <c r="L21" i="4"/>
  <c r="L48" i="4"/>
  <c r="L125" i="4"/>
  <c r="L161" i="4"/>
  <c r="L221" i="4"/>
  <c r="L252" i="4"/>
  <c r="L285" i="4"/>
  <c r="L176" i="4"/>
  <c r="L197" i="4"/>
  <c r="L200" i="4"/>
  <c r="L203" i="4"/>
  <c r="L206" i="4"/>
  <c r="L218" i="4"/>
  <c r="L12" i="4"/>
  <c r="L13" i="4"/>
  <c r="L16" i="4"/>
  <c r="L19" i="4"/>
  <c r="L46" i="4"/>
  <c r="L71" i="4"/>
  <c r="L114" i="4"/>
  <c r="L104" i="4"/>
  <c r="L126" i="4"/>
  <c r="L148" i="4"/>
  <c r="L69" i="4"/>
  <c r="L75" i="4"/>
  <c r="L192" i="4"/>
  <c r="L228" i="4"/>
  <c r="L23" i="4"/>
  <c r="L50" i="4"/>
  <c r="L53" i="4"/>
  <c r="L160" i="4"/>
  <c r="L163" i="4"/>
  <c r="L234" i="4"/>
  <c r="L269" i="4"/>
  <c r="L124" i="4"/>
  <c r="L175" i="4"/>
  <c r="L178" i="4"/>
  <c r="L181" i="4"/>
  <c r="L251" i="4"/>
  <c r="L275" i="4"/>
  <c r="L11" i="4"/>
  <c r="L96" i="4"/>
  <c r="L99" i="4"/>
  <c r="L149" i="4"/>
  <c r="L284" i="4"/>
  <c r="L193" i="4"/>
  <c r="L28" i="4"/>
  <c r="L54" i="4"/>
  <c r="L168" i="4"/>
  <c r="L201" i="4"/>
  <c r="L204" i="4"/>
  <c r="L231" i="4"/>
  <c r="L286" i="4"/>
  <c r="L43" i="4"/>
  <c r="L76" i="4"/>
  <c r="L35" i="4"/>
  <c r="L52" i="4"/>
  <c r="L68" i="4"/>
  <c r="L155" i="4"/>
  <c r="L177" i="4"/>
  <c r="L199" i="4"/>
  <c r="L207" i="4"/>
  <c r="L9" i="4"/>
  <c r="L15" i="4"/>
  <c r="L18" i="4"/>
  <c r="L29" i="4"/>
  <c r="L77" i="4"/>
  <c r="K90" i="4"/>
  <c r="L169" i="4"/>
  <c r="L180" i="4"/>
  <c r="L202" i="4"/>
  <c r="L229" i="4"/>
  <c r="L253" i="4"/>
  <c r="L279" i="4"/>
  <c r="L115" i="4"/>
  <c r="L118" i="4"/>
  <c r="L129" i="4"/>
  <c r="L150" i="4"/>
  <c r="L172" i="4"/>
  <c r="L194" i="4"/>
  <c r="L242" i="4"/>
  <c r="L256" i="4"/>
  <c r="L47" i="4"/>
  <c r="L105" i="4"/>
  <c r="L121" i="4"/>
  <c r="L113" i="4"/>
  <c r="L254" i="4"/>
  <c r="L8" i="4"/>
  <c r="L64" i="4"/>
  <c r="L98" i="4"/>
  <c r="L222" i="4"/>
  <c r="L230" i="4"/>
  <c r="L249" i="4"/>
  <c r="L25" i="4"/>
  <c r="L37" i="4"/>
  <c r="L40" i="4"/>
  <c r="L51" i="4"/>
  <c r="L70" i="4"/>
  <c r="L73" i="4"/>
  <c r="L165" i="4"/>
  <c r="L173" i="4"/>
  <c r="L195" i="4"/>
  <c r="L225" i="4"/>
  <c r="L267" i="4"/>
  <c r="J324" i="6"/>
  <c r="G56" i="5" s="1"/>
  <c r="I61" i="6" s="1"/>
  <c r="J61" i="6" s="1"/>
  <c r="J62" i="6" s="1"/>
  <c r="G12" i="5" s="1"/>
  <c r="I86" i="4" s="1"/>
  <c r="J86" i="4" s="1"/>
  <c r="K59" i="4"/>
  <c r="F90" i="4"/>
  <c r="L90" i="4" s="1"/>
  <c r="K140" i="4"/>
  <c r="L56" i="6"/>
  <c r="J16" i="6"/>
  <c r="G5" i="5" s="1"/>
  <c r="I7" i="4" s="1"/>
  <c r="J7" i="4" s="1"/>
  <c r="L271" i="6"/>
  <c r="L57" i="6"/>
  <c r="H210" i="4"/>
  <c r="K210" i="4"/>
  <c r="K132" i="4"/>
  <c r="G128" i="6"/>
  <c r="H128" i="6" s="1"/>
  <c r="L128" i="6" s="1"/>
  <c r="H125" i="6"/>
  <c r="F23" i="5" s="1"/>
  <c r="G141" i="4" s="1"/>
  <c r="H141" i="4" s="1"/>
  <c r="F140" i="4"/>
  <c r="L140" i="4" s="1"/>
  <c r="G175" i="6"/>
  <c r="H175" i="6" s="1"/>
  <c r="I240" i="6"/>
  <c r="J240" i="6" s="1"/>
  <c r="K257" i="6"/>
  <c r="H211" i="4"/>
  <c r="L211" i="4" s="1"/>
  <c r="K211" i="4"/>
  <c r="J90" i="6"/>
  <c r="G17" i="5" s="1"/>
  <c r="I108" i="4" s="1"/>
  <c r="J108" i="4" s="1"/>
  <c r="G116" i="6"/>
  <c r="H116" i="6" s="1"/>
  <c r="H118" i="6" s="1"/>
  <c r="F22" i="5" s="1"/>
  <c r="G139" i="4" s="1"/>
  <c r="H139" i="4" s="1"/>
  <c r="L84" i="4"/>
  <c r="I272" i="6"/>
  <c r="J272" i="6" s="1"/>
  <c r="G169" i="6"/>
  <c r="H169" i="6" s="1"/>
  <c r="K225" i="6"/>
  <c r="G46" i="5"/>
  <c r="G282" i="6"/>
  <c r="H282" i="6" s="1"/>
  <c r="H283" i="6" s="1"/>
  <c r="F49" i="5" s="1"/>
  <c r="G47" i="6" s="1"/>
  <c r="H47" i="6" s="1"/>
  <c r="K88" i="6"/>
  <c r="L6" i="6"/>
  <c r="F88" i="6"/>
  <c r="L88" i="6" s="1"/>
  <c r="J229" i="6"/>
  <c r="G40" i="5" s="1"/>
  <c r="D14" i="8" s="1"/>
  <c r="A14" i="8" s="1"/>
  <c r="J313" i="6"/>
  <c r="G54" i="5" s="1"/>
  <c r="I83" i="6" s="1"/>
  <c r="J83" i="6" s="1"/>
  <c r="L132" i="6"/>
  <c r="H313" i="6"/>
  <c r="F54" i="5" s="1"/>
  <c r="G83" i="6" s="1"/>
  <c r="H83" i="6" s="1"/>
  <c r="I135" i="4"/>
  <c r="J135" i="4" s="1"/>
  <c r="J48" i="6"/>
  <c r="G10" i="5" s="1"/>
  <c r="I63" i="4" s="1"/>
  <c r="J63" i="4" s="1"/>
  <c r="K59" i="6"/>
  <c r="H215" i="6"/>
  <c r="F38" i="5" s="1"/>
  <c r="G28" i="6" s="1"/>
  <c r="H28" i="6" s="1"/>
  <c r="H29" i="6" s="1"/>
  <c r="F7" i="5" s="1"/>
  <c r="G58" i="4" s="1"/>
  <c r="H58" i="4" s="1"/>
  <c r="K213" i="6"/>
  <c r="K6" i="6"/>
  <c r="K189" i="6"/>
  <c r="K168" i="6"/>
  <c r="F175" i="6"/>
  <c r="H222" i="6"/>
  <c r="F39" i="5" s="1"/>
  <c r="F225" i="6"/>
  <c r="L225" i="6" s="1"/>
  <c r="K132" i="6"/>
  <c r="K161" i="6"/>
  <c r="F169" i="6"/>
  <c r="G135" i="4"/>
  <c r="H135" i="4" s="1"/>
  <c r="K124" i="6"/>
  <c r="L130" i="6"/>
  <c r="J254" i="6"/>
  <c r="G44" i="5" s="1"/>
  <c r="I34" i="6" s="1"/>
  <c r="J34" i="6" s="1"/>
  <c r="H257" i="6"/>
  <c r="L257" i="6" s="1"/>
  <c r="K271" i="6"/>
  <c r="F124" i="6"/>
  <c r="L124" i="6" s="1"/>
  <c r="K311" i="6"/>
  <c r="L211" i="6"/>
  <c r="K227" i="6"/>
  <c r="L65" i="4"/>
  <c r="L117" i="4"/>
  <c r="L179" i="4"/>
  <c r="K265" i="4"/>
  <c r="F265" i="4"/>
  <c r="L265" i="4" s="1"/>
  <c r="E8" i="6"/>
  <c r="B99" i="8"/>
  <c r="E99" i="8" s="1"/>
  <c r="L10" i="4"/>
  <c r="L147" i="4"/>
  <c r="L246" i="4"/>
  <c r="L260" i="4"/>
  <c r="L271" i="4"/>
  <c r="K138" i="4"/>
  <c r="F138" i="4"/>
  <c r="L138" i="4" s="1"/>
  <c r="F46" i="6"/>
  <c r="L46" i="6" s="1"/>
  <c r="K46" i="6"/>
  <c r="K123" i="6"/>
  <c r="J123" i="6"/>
  <c r="J125" i="6" s="1"/>
  <c r="G23" i="5" s="1"/>
  <c r="I141" i="4" s="1"/>
  <c r="J141" i="4" s="1"/>
  <c r="K134" i="4"/>
  <c r="F134" i="4"/>
  <c r="L134" i="4" s="1"/>
  <c r="J73" i="6"/>
  <c r="J75" i="6" s="1"/>
  <c r="G14" i="5" s="1"/>
  <c r="I89" i="4" s="1"/>
  <c r="J89" i="4" s="1"/>
  <c r="L22" i="4"/>
  <c r="L102" i="4"/>
  <c r="L196" i="4"/>
  <c r="L226" i="4"/>
  <c r="L258" i="4"/>
  <c r="F115" i="6"/>
  <c r="K115" i="6"/>
  <c r="F7" i="6"/>
  <c r="L49" i="4"/>
  <c r="L72" i="4"/>
  <c r="L283" i="4"/>
  <c r="F59" i="4"/>
  <c r="L59" i="4" s="1"/>
  <c r="L44" i="4"/>
  <c r="L127" i="4"/>
  <c r="L97" i="4"/>
  <c r="L122" i="4"/>
  <c r="L162" i="4"/>
  <c r="K237" i="4"/>
  <c r="L278" i="4"/>
  <c r="K19" i="6"/>
  <c r="F19" i="6"/>
  <c r="F29" i="5"/>
  <c r="G264" i="4" s="1"/>
  <c r="H264" i="4" s="1"/>
  <c r="L17" i="4"/>
  <c r="K83" i="4"/>
  <c r="L224" i="4"/>
  <c r="L237" i="4"/>
  <c r="F261" i="4"/>
  <c r="E22" i="6"/>
  <c r="J39" i="6"/>
  <c r="L39" i="4"/>
  <c r="L83" i="4"/>
  <c r="L152" i="4"/>
  <c r="L219" i="4"/>
  <c r="H79" i="6"/>
  <c r="H80" i="6" s="1"/>
  <c r="F15" i="5" s="1"/>
  <c r="G91" i="4" s="1"/>
  <c r="H91" i="4" s="1"/>
  <c r="K79" i="6"/>
  <c r="K235" i="6"/>
  <c r="I298" i="6"/>
  <c r="J298" i="6" s="1"/>
  <c r="J299" i="6" s="1"/>
  <c r="G52" i="5" s="1"/>
  <c r="I133" i="6" s="1"/>
  <c r="J133" i="6" s="1"/>
  <c r="I292" i="6"/>
  <c r="J292" i="6" s="1"/>
  <c r="J293" i="6" s="1"/>
  <c r="G51" i="5" s="1"/>
  <c r="I134" i="6" s="1"/>
  <c r="J134" i="6" s="1"/>
  <c r="K84" i="4"/>
  <c r="L132" i="4"/>
  <c r="D101" i="8"/>
  <c r="E101" i="8" s="1"/>
  <c r="L121" i="6"/>
  <c r="K157" i="6"/>
  <c r="J157" i="6"/>
  <c r="J158" i="6" s="1"/>
  <c r="G29" i="5" s="1"/>
  <c r="I264" i="4" s="1"/>
  <c r="J264" i="4" s="1"/>
  <c r="J287" i="4" s="1"/>
  <c r="I16" i="3" s="1"/>
  <c r="J16" i="3" s="1"/>
  <c r="K310" i="6"/>
  <c r="F310" i="6"/>
  <c r="G292" i="6"/>
  <c r="H292" i="6" s="1"/>
  <c r="H293" i="6" s="1"/>
  <c r="F51" i="5" s="1"/>
  <c r="G134" i="6" s="1"/>
  <c r="H134" i="6" s="1"/>
  <c r="E60" i="6"/>
  <c r="L59" i="6"/>
  <c r="F72" i="6"/>
  <c r="K72" i="6"/>
  <c r="H150" i="6"/>
  <c r="F61" i="4"/>
  <c r="L61" i="4" s="1"/>
  <c r="F210" i="4"/>
  <c r="E217" i="4" s="1"/>
  <c r="E264" i="4"/>
  <c r="L78" i="6"/>
  <c r="F80" i="6"/>
  <c r="K122" i="6"/>
  <c r="F122" i="6"/>
  <c r="L122" i="6" s="1"/>
  <c r="L161" i="6"/>
  <c r="K101" i="6"/>
  <c r="J101" i="6"/>
  <c r="L101" i="6" s="1"/>
  <c r="I207" i="6"/>
  <c r="H208" i="6"/>
  <c r="F37" i="5" s="1"/>
  <c r="G111" i="6" s="1"/>
  <c r="H111" i="6" s="1"/>
  <c r="K65" i="6"/>
  <c r="J65" i="6"/>
  <c r="L93" i="6"/>
  <c r="J27" i="6"/>
  <c r="J80" i="6"/>
  <c r="G15" i="5" s="1"/>
  <c r="I91" i="4" s="1"/>
  <c r="J91" i="4" s="1"/>
  <c r="F100" i="6"/>
  <c r="K100" i="6"/>
  <c r="L144" i="6"/>
  <c r="L189" i="6"/>
  <c r="F316" i="6"/>
  <c r="K38" i="6"/>
  <c r="K45" i="6"/>
  <c r="H45" i="6"/>
  <c r="K153" i="6"/>
  <c r="H153" i="6"/>
  <c r="F199" i="6"/>
  <c r="K199" i="6"/>
  <c r="E4" i="5"/>
  <c r="L58" i="6"/>
  <c r="J116" i="6"/>
  <c r="J118" i="6" s="1"/>
  <c r="G22" i="5" s="1"/>
  <c r="I139" i="4" s="1"/>
  <c r="J139" i="4" s="1"/>
  <c r="K218" i="6"/>
  <c r="K232" i="6"/>
  <c r="K234" i="6"/>
  <c r="E241" i="6"/>
  <c r="J202" i="6"/>
  <c r="G36" i="5" s="1"/>
  <c r="I194" i="6" s="1"/>
  <c r="J194" i="6" s="1"/>
  <c r="J195" i="6" s="1"/>
  <c r="G35" i="5" s="1"/>
  <c r="I110" i="6" s="1"/>
  <c r="J110" i="6" s="1"/>
  <c r="K205" i="6"/>
  <c r="L232" i="6"/>
  <c r="E260" i="6"/>
  <c r="L259" i="6"/>
  <c r="K130" i="6"/>
  <c r="L296" i="6"/>
  <c r="H302" i="6"/>
  <c r="K78" i="6"/>
  <c r="K93" i="6"/>
  <c r="K121" i="6"/>
  <c r="K144" i="6"/>
  <c r="K259" i="6"/>
  <c r="K180" i="6"/>
  <c r="L213" i="6"/>
  <c r="K246" i="6"/>
  <c r="H246" i="6"/>
  <c r="F282" i="6"/>
  <c r="K296" i="6"/>
  <c r="F162" i="6"/>
  <c r="F180" i="6"/>
  <c r="L218" i="6"/>
  <c r="L234" i="6"/>
  <c r="L239" i="6"/>
  <c r="J261" i="6"/>
  <c r="G45" i="5" s="1"/>
  <c r="I290" i="6"/>
  <c r="J290" i="6" s="1"/>
  <c r="E228" i="6"/>
  <c r="L227" i="6"/>
  <c r="I302" i="6"/>
  <c r="J302" i="6" s="1"/>
  <c r="I316" i="6"/>
  <c r="J316" i="6" s="1"/>
  <c r="J168" i="6"/>
  <c r="L168" i="6" s="1"/>
  <c r="L205" i="6"/>
  <c r="K211" i="6"/>
  <c r="E297" i="6"/>
  <c r="E291" i="6"/>
  <c r="E322" i="6"/>
  <c r="E317" i="6"/>
  <c r="E305" i="6"/>
  <c r="L311" i="6"/>
  <c r="F321" i="6"/>
  <c r="K321" i="6"/>
  <c r="K198" i="6"/>
  <c r="H198" i="6"/>
  <c r="H202" i="6" s="1"/>
  <c r="F36" i="5" s="1"/>
  <c r="G194" i="6" s="1"/>
  <c r="H194" i="6" s="1"/>
  <c r="H195" i="6" s="1"/>
  <c r="F35" i="5" s="1"/>
  <c r="G110" i="6" s="1"/>
  <c r="H110" i="6" s="1"/>
  <c r="K212" i="6"/>
  <c r="E214" i="6"/>
  <c r="J236" i="6"/>
  <c r="G41" i="5" s="1"/>
  <c r="K239" i="6"/>
  <c r="K250" i="6"/>
  <c r="H250" i="6"/>
  <c r="K278" i="6"/>
  <c r="F278" i="6"/>
  <c r="I304" i="6"/>
  <c r="J304" i="6" s="1"/>
  <c r="E220" i="6"/>
  <c r="I303" i="6"/>
  <c r="F304" i="6"/>
  <c r="L38" i="6" l="1"/>
  <c r="L212" i="6"/>
  <c r="K139" i="6"/>
  <c r="L186" i="6"/>
  <c r="L226" i="6"/>
  <c r="K87" i="4"/>
  <c r="F191" i="6"/>
  <c r="L87" i="4"/>
  <c r="H351" i="6"/>
  <c r="L351" i="6" s="1"/>
  <c r="K351" i="6"/>
  <c r="H345" i="6"/>
  <c r="L345" i="6" s="1"/>
  <c r="K345" i="6"/>
  <c r="K186" i="6"/>
  <c r="E40" i="6"/>
  <c r="H350" i="6"/>
  <c r="K350" i="6"/>
  <c r="K266" i="6"/>
  <c r="L138" i="6"/>
  <c r="H343" i="6"/>
  <c r="K343" i="6"/>
  <c r="G190" i="6"/>
  <c r="K190" i="6" s="1"/>
  <c r="K242" i="6"/>
  <c r="K138" i="6"/>
  <c r="K233" i="6"/>
  <c r="L240" i="6"/>
  <c r="H324" i="6"/>
  <c r="F56" i="5" s="1"/>
  <c r="G61" i="6" s="1"/>
  <c r="H61" i="6" s="1"/>
  <c r="H62" i="6" s="1"/>
  <c r="F12" i="5" s="1"/>
  <c r="G86" i="4" s="1"/>
  <c r="H86" i="4" s="1"/>
  <c r="K219" i="6"/>
  <c r="L219" i="6"/>
  <c r="L176" i="6"/>
  <c r="K274" i="6"/>
  <c r="H30" i="4"/>
  <c r="G6" i="3" s="1"/>
  <c r="H6" i="3" s="1"/>
  <c r="I13" i="3"/>
  <c r="J13" i="3" s="1"/>
  <c r="E13" i="3"/>
  <c r="F13" i="3" s="1"/>
  <c r="K323" i="6"/>
  <c r="F323" i="6"/>
  <c r="L323" i="6" s="1"/>
  <c r="H177" i="6"/>
  <c r="F32" i="5" s="1"/>
  <c r="G145" i="6" s="1"/>
  <c r="H145" i="6" s="1"/>
  <c r="H146" i="6" s="1"/>
  <c r="F26" i="5" s="1"/>
  <c r="G158" i="4" s="1"/>
  <c r="H158" i="4" s="1"/>
  <c r="H182" i="4" s="1"/>
  <c r="G12" i="3" s="1"/>
  <c r="H12" i="3" s="1"/>
  <c r="K129" i="6"/>
  <c r="E267" i="6"/>
  <c r="L266" i="6"/>
  <c r="K176" i="6"/>
  <c r="F177" i="6"/>
  <c r="H183" i="6"/>
  <c r="F33" i="5" s="1"/>
  <c r="G105" i="6" s="1"/>
  <c r="H105" i="6" s="1"/>
  <c r="L162" i="6"/>
  <c r="H233" i="6"/>
  <c r="H236" i="6" s="1"/>
  <c r="F41" i="5" s="1"/>
  <c r="C27" i="8" s="1"/>
  <c r="A27" i="8" s="1"/>
  <c r="K162" i="6"/>
  <c r="K282" i="6"/>
  <c r="H242" i="6"/>
  <c r="L242" i="6" s="1"/>
  <c r="F274" i="6"/>
  <c r="L274" i="6" s="1"/>
  <c r="K27" i="6"/>
  <c r="K286" i="6"/>
  <c r="I140" i="6"/>
  <c r="J140" i="6" s="1"/>
  <c r="J141" i="6" s="1"/>
  <c r="G25" i="5" s="1"/>
  <c r="I143" i="4" s="1"/>
  <c r="J143" i="4" s="1"/>
  <c r="K89" i="6"/>
  <c r="K226" i="6"/>
  <c r="H229" i="6"/>
  <c r="F40" i="5" s="1"/>
  <c r="C13" i="8" s="1"/>
  <c r="C15" i="8" s="1"/>
  <c r="C16" i="8" s="1"/>
  <c r="H67" i="6"/>
  <c r="H69" i="6" s="1"/>
  <c r="F13" i="5" s="1"/>
  <c r="G111" i="4" s="1"/>
  <c r="H111" i="4" s="1"/>
  <c r="K67" i="6"/>
  <c r="H24" i="6"/>
  <c r="F6" i="5" s="1"/>
  <c r="G32" i="4" s="1"/>
  <c r="H32" i="4" s="1"/>
  <c r="K66" i="6"/>
  <c r="H88" i="4"/>
  <c r="L88" i="4" s="1"/>
  <c r="K88" i="4"/>
  <c r="L66" i="6"/>
  <c r="L27" i="6"/>
  <c r="L65" i="6"/>
  <c r="L20" i="6"/>
  <c r="H332" i="6"/>
  <c r="K332" i="6"/>
  <c r="H333" i="6"/>
  <c r="L333" i="6" s="1"/>
  <c r="K333" i="6"/>
  <c r="K206" i="6"/>
  <c r="K252" i="6"/>
  <c r="I170" i="6"/>
  <c r="J170" i="6" s="1"/>
  <c r="K258" i="6"/>
  <c r="K251" i="6"/>
  <c r="K94" i="6"/>
  <c r="F252" i="6"/>
  <c r="E253" i="6" s="1"/>
  <c r="J243" i="6"/>
  <c r="G42" i="5" s="1"/>
  <c r="D95" i="8" s="1"/>
  <c r="K240" i="6"/>
  <c r="I163" i="6"/>
  <c r="J163" i="6" s="1"/>
  <c r="L272" i="6"/>
  <c r="L39" i="6"/>
  <c r="K39" i="6"/>
  <c r="K73" i="6"/>
  <c r="E74" i="6"/>
  <c r="K74" i="6" s="1"/>
  <c r="F286" i="6"/>
  <c r="F287" i="6" s="1"/>
  <c r="F206" i="6"/>
  <c r="L206" i="6" s="1"/>
  <c r="A101" i="8"/>
  <c r="K149" i="6"/>
  <c r="K20" i="6"/>
  <c r="L181" i="6"/>
  <c r="K181" i="6"/>
  <c r="H129" i="6"/>
  <c r="L129" i="6" s="1"/>
  <c r="K187" i="6"/>
  <c r="L187" i="6"/>
  <c r="I188" i="6"/>
  <c r="J188" i="6" s="1"/>
  <c r="L89" i="6"/>
  <c r="L14" i="6"/>
  <c r="E15" i="6"/>
  <c r="K15" i="6" s="1"/>
  <c r="K14" i="6"/>
  <c r="H112" i="6"/>
  <c r="F21" i="5" s="1"/>
  <c r="G137" i="4" s="1"/>
  <c r="H137" i="4" s="1"/>
  <c r="I52" i="6"/>
  <c r="J52" i="6" s="1"/>
  <c r="J275" i="6"/>
  <c r="G47" i="5" s="1"/>
  <c r="I21" i="6" s="1"/>
  <c r="J21" i="6" s="1"/>
  <c r="J24" i="6" s="1"/>
  <c r="G6" i="5" s="1"/>
  <c r="I32" i="4" s="1"/>
  <c r="J32" i="4" s="1"/>
  <c r="L79" i="6"/>
  <c r="K272" i="6"/>
  <c r="L149" i="6"/>
  <c r="L73" i="6"/>
  <c r="H261" i="6"/>
  <c r="F45" i="5" s="1"/>
  <c r="C55" i="8" s="1"/>
  <c r="E55" i="8" s="1"/>
  <c r="L175" i="6"/>
  <c r="F208" i="6"/>
  <c r="E37" i="5" s="1"/>
  <c r="K116" i="6"/>
  <c r="E117" i="6"/>
  <c r="K117" i="6" s="1"/>
  <c r="F90" i="6"/>
  <c r="L90" i="6" s="1"/>
  <c r="K128" i="6"/>
  <c r="L169" i="6"/>
  <c r="K302" i="6"/>
  <c r="K316" i="6"/>
  <c r="G8" i="5"/>
  <c r="I60" i="4" s="1"/>
  <c r="J60" i="4" s="1"/>
  <c r="K169" i="6"/>
  <c r="F125" i="6"/>
  <c r="E23" i="5" s="1"/>
  <c r="J135" i="6"/>
  <c r="G24" i="5" s="1"/>
  <c r="I142" i="4" s="1"/>
  <c r="J142" i="4" s="1"/>
  <c r="K175" i="6"/>
  <c r="H235" i="4"/>
  <c r="G14" i="3" s="1"/>
  <c r="H14" i="3" s="1"/>
  <c r="J318" i="6"/>
  <c r="G55" i="5" s="1"/>
  <c r="I68" i="6" s="1"/>
  <c r="J68" i="6" s="1"/>
  <c r="J69" i="6" s="1"/>
  <c r="G13" i="5" s="1"/>
  <c r="I111" i="4" s="1"/>
  <c r="J111" i="4" s="1"/>
  <c r="I51" i="6"/>
  <c r="J51" i="6" s="1"/>
  <c r="G51" i="6"/>
  <c r="H51" i="6" s="1"/>
  <c r="G33" i="6"/>
  <c r="H33" i="6" s="1"/>
  <c r="H35" i="6" s="1"/>
  <c r="H29" i="5"/>
  <c r="L123" i="6"/>
  <c r="F236" i="6"/>
  <c r="E41" i="5" s="1"/>
  <c r="L80" i="6"/>
  <c r="E15" i="5"/>
  <c r="K305" i="6"/>
  <c r="F305" i="6"/>
  <c r="F260" i="6"/>
  <c r="K260" i="6"/>
  <c r="K241" i="6"/>
  <c r="F241" i="6"/>
  <c r="L316" i="6"/>
  <c r="J29" i="6"/>
  <c r="G7" i="5" s="1"/>
  <c r="I58" i="4" s="1"/>
  <c r="J58" i="4" s="1"/>
  <c r="L157" i="6"/>
  <c r="K182" i="6"/>
  <c r="J182" i="6"/>
  <c r="L115" i="6"/>
  <c r="D56" i="8"/>
  <c r="E56" i="8" s="1"/>
  <c r="F60" i="6"/>
  <c r="K60" i="6"/>
  <c r="J207" i="6"/>
  <c r="K207" i="6"/>
  <c r="K264" i="4"/>
  <c r="F264" i="4"/>
  <c r="D15" i="8"/>
  <c r="D16" i="8" s="1"/>
  <c r="E14" i="8"/>
  <c r="L158" i="6"/>
  <c r="F214" i="6"/>
  <c r="K214" i="6"/>
  <c r="H154" i="6"/>
  <c r="L153" i="6"/>
  <c r="F279" i="6"/>
  <c r="L278" i="6"/>
  <c r="K317" i="6"/>
  <c r="F317" i="6"/>
  <c r="L317" i="6" s="1"/>
  <c r="K322" i="6"/>
  <c r="F322" i="6"/>
  <c r="L322" i="6" s="1"/>
  <c r="H247" i="6"/>
  <c r="L246" i="6"/>
  <c r="G170" i="6"/>
  <c r="H170" i="6" s="1"/>
  <c r="G163" i="6"/>
  <c r="H163" i="6" s="1"/>
  <c r="G143" i="4"/>
  <c r="H143" i="4" s="1"/>
  <c r="L321" i="6"/>
  <c r="K291" i="6"/>
  <c r="F291" i="6"/>
  <c r="L291" i="6" s="1"/>
  <c r="F183" i="6"/>
  <c r="L180" i="6"/>
  <c r="E201" i="6"/>
  <c r="L210" i="4"/>
  <c r="L19" i="6"/>
  <c r="E34" i="5"/>
  <c r="L72" i="6"/>
  <c r="K297" i="6"/>
  <c r="F297" i="6"/>
  <c r="L297" i="6" s="1"/>
  <c r="E312" i="6"/>
  <c r="L310" i="6"/>
  <c r="L304" i="6"/>
  <c r="L198" i="6"/>
  <c r="H48" i="6"/>
  <c r="F10" i="5" s="1"/>
  <c r="G63" i="4" s="1"/>
  <c r="H63" i="4" s="1"/>
  <c r="L45" i="6"/>
  <c r="L116" i="6"/>
  <c r="F22" i="6"/>
  <c r="L22" i="6" s="1"/>
  <c r="K22" i="6"/>
  <c r="E13" i="8"/>
  <c r="F273" i="6"/>
  <c r="K273" i="6"/>
  <c r="L261" i="4"/>
  <c r="E15" i="3"/>
  <c r="A99" i="8"/>
  <c r="E6" i="4"/>
  <c r="F102" i="6"/>
  <c r="L100" i="6"/>
  <c r="L150" i="6"/>
  <c r="F27" i="5"/>
  <c r="G184" i="4" s="1"/>
  <c r="J303" i="6"/>
  <c r="L303" i="6" s="1"/>
  <c r="K303" i="6"/>
  <c r="K220" i="6"/>
  <c r="F220" i="6"/>
  <c r="C42" i="8"/>
  <c r="A42" i="8" s="1"/>
  <c r="K228" i="6"/>
  <c r="F228" i="6"/>
  <c r="L290" i="6"/>
  <c r="K95" i="6"/>
  <c r="F95" i="6"/>
  <c r="K40" i="6"/>
  <c r="F40" i="6"/>
  <c r="L94" i="6"/>
  <c r="F8" i="6"/>
  <c r="L250" i="6"/>
  <c r="H254" i="6"/>
  <c r="F44" i="5" s="1"/>
  <c r="K304" i="6"/>
  <c r="D43" i="8"/>
  <c r="A43" i="8" s="1"/>
  <c r="D28" i="8"/>
  <c r="A28" i="8" s="1"/>
  <c r="I41" i="6"/>
  <c r="J41" i="6" s="1"/>
  <c r="J42" i="6" s="1"/>
  <c r="G9" i="5" s="1"/>
  <c r="I62" i="4" s="1"/>
  <c r="J62" i="4" s="1"/>
  <c r="I96" i="6"/>
  <c r="J96" i="6" s="1"/>
  <c r="J97" i="6" s="1"/>
  <c r="G18" i="5" s="1"/>
  <c r="F283" i="6"/>
  <c r="L282" i="6"/>
  <c r="K290" i="6"/>
  <c r="H307" i="6"/>
  <c r="F53" i="5" s="1"/>
  <c r="G84" i="6" s="1"/>
  <c r="H84" i="6" s="1"/>
  <c r="H85" i="6" s="1"/>
  <c r="F16" i="5" s="1"/>
  <c r="G92" i="4" s="1"/>
  <c r="H92" i="4" s="1"/>
  <c r="L302" i="6"/>
  <c r="E306" i="6"/>
  <c r="L199" i="6"/>
  <c r="E200" i="6"/>
  <c r="G41" i="6" l="1"/>
  <c r="H41" i="6" s="1"/>
  <c r="H42" i="6" s="1"/>
  <c r="F9" i="5" s="1"/>
  <c r="G62" i="4" s="1"/>
  <c r="H62" i="4" s="1"/>
  <c r="H190" i="6"/>
  <c r="L190" i="6" s="1"/>
  <c r="L252" i="6"/>
  <c r="H352" i="6"/>
  <c r="L350" i="6"/>
  <c r="I346" i="6"/>
  <c r="L343" i="6"/>
  <c r="H347" i="6"/>
  <c r="J53" i="6"/>
  <c r="G11" i="5" s="1"/>
  <c r="I85" i="4" s="1"/>
  <c r="J85" i="4" s="1"/>
  <c r="H243" i="6"/>
  <c r="F42" i="5" s="1"/>
  <c r="C94" i="8" s="1"/>
  <c r="A94" i="8" s="1"/>
  <c r="L286" i="6"/>
  <c r="J56" i="4"/>
  <c r="I7" i="3" s="1"/>
  <c r="J7" i="3" s="1"/>
  <c r="H56" i="4"/>
  <c r="G7" i="3" s="1"/>
  <c r="H7" i="3" s="1"/>
  <c r="F74" i="6"/>
  <c r="L74" i="6" s="1"/>
  <c r="L67" i="6"/>
  <c r="L177" i="6"/>
  <c r="G96" i="6"/>
  <c r="H96" i="6" s="1"/>
  <c r="H97" i="6" s="1"/>
  <c r="F18" i="5" s="1"/>
  <c r="G133" i="4" s="1"/>
  <c r="H133" i="4" s="1"/>
  <c r="E32" i="5"/>
  <c r="E145" i="6" s="1"/>
  <c r="K267" i="6"/>
  <c r="F267" i="6"/>
  <c r="L233" i="6"/>
  <c r="A13" i="8"/>
  <c r="L332" i="6"/>
  <c r="H334" i="6"/>
  <c r="K217" i="4"/>
  <c r="F217" i="4"/>
  <c r="F235" i="4" s="1"/>
  <c r="F117" i="6"/>
  <c r="L117" i="6" s="1"/>
  <c r="H191" i="6"/>
  <c r="F34" i="5" s="1"/>
  <c r="G106" i="6" s="1"/>
  <c r="H106" i="6" s="1"/>
  <c r="H107" i="6" s="1"/>
  <c r="F20" i="5" s="1"/>
  <c r="G136" i="4" s="1"/>
  <c r="H136" i="4" s="1"/>
  <c r="K188" i="6"/>
  <c r="E131" i="6"/>
  <c r="F131" i="6" s="1"/>
  <c r="H135" i="6"/>
  <c r="F24" i="5" s="1"/>
  <c r="G142" i="4" s="1"/>
  <c r="H142" i="4" s="1"/>
  <c r="L236" i="6"/>
  <c r="F15" i="6"/>
  <c r="L15" i="6" s="1"/>
  <c r="E17" i="5"/>
  <c r="H17" i="5" s="1"/>
  <c r="L125" i="6"/>
  <c r="I133" i="4"/>
  <c r="J133" i="4" s="1"/>
  <c r="J109" i="4"/>
  <c r="J130" i="4" s="1"/>
  <c r="E33" i="5"/>
  <c r="L241" i="6"/>
  <c r="F243" i="6"/>
  <c r="L273" i="6"/>
  <c r="F275" i="6"/>
  <c r="J307" i="6"/>
  <c r="G53" i="5" s="1"/>
  <c r="I84" i="6" s="1"/>
  <c r="J84" i="6" s="1"/>
  <c r="J85" i="6" s="1"/>
  <c r="G16" i="5" s="1"/>
  <c r="I92" i="4" s="1"/>
  <c r="J92" i="4" s="1"/>
  <c r="K15" i="3"/>
  <c r="F15" i="3"/>
  <c r="L15" i="3" s="1"/>
  <c r="E25" i="2" s="1"/>
  <c r="D29" i="8"/>
  <c r="D30" i="8" s="1"/>
  <c r="E28" i="8"/>
  <c r="C29" i="8"/>
  <c r="C30" i="8" s="1"/>
  <c r="E27" i="8"/>
  <c r="E106" i="6"/>
  <c r="L260" i="6"/>
  <c r="F261" i="6"/>
  <c r="L283" i="6"/>
  <c r="E49" i="5"/>
  <c r="L40" i="6"/>
  <c r="L102" i="6"/>
  <c r="E19" i="5"/>
  <c r="H23" i="5"/>
  <c r="E141" i="4"/>
  <c r="F324" i="6"/>
  <c r="J208" i="6"/>
  <c r="L207" i="6"/>
  <c r="L305" i="6"/>
  <c r="F200" i="6"/>
  <c r="K200" i="6"/>
  <c r="E221" i="6"/>
  <c r="L220" i="6"/>
  <c r="L279" i="6"/>
  <c r="E48" i="5"/>
  <c r="L182" i="6"/>
  <c r="J183" i="6"/>
  <c r="G33" i="5" s="1"/>
  <c r="I105" i="6" s="1"/>
  <c r="J105" i="6" s="1"/>
  <c r="D44" i="8"/>
  <c r="D57" i="8" s="1"/>
  <c r="E43" i="8"/>
  <c r="D96" i="8"/>
  <c r="D102" i="8" s="1"/>
  <c r="E95" i="8"/>
  <c r="B41" i="8"/>
  <c r="A41" i="8" s="1"/>
  <c r="B26" i="8"/>
  <c r="A26" i="8" s="1"/>
  <c r="E41" i="6"/>
  <c r="H41" i="5"/>
  <c r="E96" i="6"/>
  <c r="K312" i="6"/>
  <c r="F312" i="6"/>
  <c r="F28" i="5"/>
  <c r="L154" i="6"/>
  <c r="L287" i="6"/>
  <c r="E50" i="5"/>
  <c r="L264" i="4"/>
  <c r="F287" i="4"/>
  <c r="L95" i="6"/>
  <c r="F6" i="4"/>
  <c r="F306" i="6"/>
  <c r="L306" i="6" s="1"/>
  <c r="K306" i="6"/>
  <c r="A95" i="8"/>
  <c r="L188" i="6"/>
  <c r="J191" i="6"/>
  <c r="L60" i="6"/>
  <c r="H15" i="5"/>
  <c r="E91" i="4"/>
  <c r="L228" i="6"/>
  <c r="F229" i="6"/>
  <c r="F43" i="5"/>
  <c r="L247" i="6"/>
  <c r="L214" i="6"/>
  <c r="F215" i="6"/>
  <c r="A56" i="8"/>
  <c r="G34" i="6"/>
  <c r="H34" i="6" s="1"/>
  <c r="F8" i="5" s="1"/>
  <c r="G60" i="4" s="1"/>
  <c r="H60" i="4" s="1"/>
  <c r="H81" i="4" s="1"/>
  <c r="G8" i="3" s="1"/>
  <c r="H8" i="3" s="1"/>
  <c r="G52" i="6"/>
  <c r="H52" i="6" s="1"/>
  <c r="H53" i="6" s="1"/>
  <c r="F11" i="5" s="1"/>
  <c r="G85" i="4" s="1"/>
  <c r="H85" i="4" s="1"/>
  <c r="H106" i="4" s="1"/>
  <c r="G9" i="3" s="1"/>
  <c r="H9" i="3" s="1"/>
  <c r="A55" i="8"/>
  <c r="K201" i="6"/>
  <c r="F201" i="6"/>
  <c r="L201" i="6" s="1"/>
  <c r="J81" i="4"/>
  <c r="I8" i="3" s="1"/>
  <c r="J8" i="3" s="1"/>
  <c r="C44" i="8"/>
  <c r="C57" i="8" s="1"/>
  <c r="E42" i="8"/>
  <c r="H27" i="5"/>
  <c r="F253" i="6"/>
  <c r="K253" i="6"/>
  <c r="E111" i="6"/>
  <c r="H32" i="5" l="1"/>
  <c r="J106" i="4"/>
  <c r="I9" i="3" s="1"/>
  <c r="J9" i="3" s="1"/>
  <c r="F75" i="6"/>
  <c r="E14" i="5" s="1"/>
  <c r="L217" i="4"/>
  <c r="F59" i="5"/>
  <c r="J346" i="6"/>
  <c r="K346" i="6"/>
  <c r="E108" i="4"/>
  <c r="K108" i="4" s="1"/>
  <c r="H61" i="5"/>
  <c r="F60" i="5"/>
  <c r="H60" i="5" s="1"/>
  <c r="L352" i="6"/>
  <c r="I10" i="3"/>
  <c r="J10" i="3" s="1"/>
  <c r="L267" i="6"/>
  <c r="F268" i="6"/>
  <c r="L268" i="6" s="1"/>
  <c r="F118" i="6"/>
  <c r="L118" i="6" s="1"/>
  <c r="K131" i="6"/>
  <c r="F58" i="5"/>
  <c r="L334" i="6"/>
  <c r="H156" i="4"/>
  <c r="G11" i="3" s="1"/>
  <c r="H11" i="3" s="1"/>
  <c r="F307" i="6"/>
  <c r="L307" i="6" s="1"/>
  <c r="L16" i="6"/>
  <c r="E5" i="5"/>
  <c r="G34" i="5"/>
  <c r="L191" i="6"/>
  <c r="G263" i="4"/>
  <c r="H28" i="5"/>
  <c r="L131" i="6"/>
  <c r="E94" i="8"/>
  <c r="C96" i="8"/>
  <c r="E89" i="4"/>
  <c r="H14" i="5"/>
  <c r="F91" i="4"/>
  <c r="L91" i="4" s="1"/>
  <c r="K91" i="4"/>
  <c r="G37" i="5"/>
  <c r="L208" i="6"/>
  <c r="L261" i="6"/>
  <c r="E45" i="5"/>
  <c r="E23" i="6"/>
  <c r="H48" i="5"/>
  <c r="H184" i="4"/>
  <c r="H208" i="4" s="1"/>
  <c r="L208" i="4" s="1"/>
  <c r="K184" i="4"/>
  <c r="L324" i="6"/>
  <c r="E56" i="5"/>
  <c r="L275" i="6"/>
  <c r="E47" i="5"/>
  <c r="K41" i="6"/>
  <c r="F41" i="6"/>
  <c r="F221" i="6"/>
  <c r="K221" i="6"/>
  <c r="K141" i="4"/>
  <c r="F141" i="4"/>
  <c r="L141" i="4" s="1"/>
  <c r="F106" i="6"/>
  <c r="L243" i="6"/>
  <c r="E42" i="5"/>
  <c r="F145" i="6"/>
  <c r="K145" i="6"/>
  <c r="D105" i="8"/>
  <c r="F111" i="6"/>
  <c r="L312" i="6"/>
  <c r="F313" i="6"/>
  <c r="E47" i="6"/>
  <c r="H49" i="5"/>
  <c r="L215" i="6"/>
  <c r="E38" i="5"/>
  <c r="C58" i="8"/>
  <c r="E16" i="3"/>
  <c r="B29" i="8"/>
  <c r="E26" i="8"/>
  <c r="D58" i="8"/>
  <c r="L200" i="6"/>
  <c r="F202" i="6"/>
  <c r="H19" i="5"/>
  <c r="E135" i="4"/>
  <c r="F96" i="6"/>
  <c r="K96" i="6"/>
  <c r="E105" i="6"/>
  <c r="H33" i="5"/>
  <c r="L229" i="6"/>
  <c r="E40" i="5"/>
  <c r="L253" i="6"/>
  <c r="F254" i="6"/>
  <c r="C100" i="8"/>
  <c r="E100" i="8" s="1"/>
  <c r="H43" i="5"/>
  <c r="F318" i="6"/>
  <c r="E298" i="6"/>
  <c r="E292" i="6"/>
  <c r="H50" i="5"/>
  <c r="E41" i="8"/>
  <c r="B44" i="8"/>
  <c r="L183" i="6"/>
  <c r="F108" i="4" l="1"/>
  <c r="L75" i="6"/>
  <c r="L235" i="4"/>
  <c r="E14" i="3"/>
  <c r="L346" i="6"/>
  <c r="J347" i="6"/>
  <c r="E22" i="5"/>
  <c r="H22" i="5" s="1"/>
  <c r="A100" i="8"/>
  <c r="G109" i="4"/>
  <c r="H109" i="4" s="1"/>
  <c r="H130" i="4" s="1"/>
  <c r="H58" i="5"/>
  <c r="E53" i="5"/>
  <c r="E84" i="6" s="1"/>
  <c r="H5" i="5"/>
  <c r="E7" i="4"/>
  <c r="K105" i="6"/>
  <c r="F105" i="6"/>
  <c r="K23" i="6"/>
  <c r="F23" i="6"/>
  <c r="L23" i="6" s="1"/>
  <c r="C102" i="8"/>
  <c r="C105" i="8" s="1"/>
  <c r="B30" i="8"/>
  <c r="E30" i="8" s="1"/>
  <c r="E29" i="8"/>
  <c r="L41" i="6"/>
  <c r="F42" i="6"/>
  <c r="H47" i="5"/>
  <c r="E21" i="6"/>
  <c r="B54" i="8"/>
  <c r="E54" i="8" s="1"/>
  <c r="H45" i="5"/>
  <c r="L184" i="4"/>
  <c r="L145" i="6"/>
  <c r="F146" i="6"/>
  <c r="E46" i="5"/>
  <c r="E140" i="6" s="1"/>
  <c r="B93" i="8"/>
  <c r="A93" i="8" s="1"/>
  <c r="H42" i="5"/>
  <c r="H56" i="5"/>
  <c r="E61" i="6"/>
  <c r="K135" i="4"/>
  <c r="F135" i="4"/>
  <c r="L135" i="4" s="1"/>
  <c r="E28" i="6"/>
  <c r="H38" i="5"/>
  <c r="I111" i="6"/>
  <c r="H37" i="5"/>
  <c r="L254" i="6"/>
  <c r="E44" i="5"/>
  <c r="L96" i="6"/>
  <c r="F97" i="6"/>
  <c r="L318" i="6"/>
  <c r="E55" i="5"/>
  <c r="L108" i="4"/>
  <c r="E44" i="8"/>
  <c r="F47" i="6"/>
  <c r="K47" i="6"/>
  <c r="H263" i="4"/>
  <c r="K263" i="4"/>
  <c r="L221" i="6"/>
  <c r="F222" i="6"/>
  <c r="F16" i="3"/>
  <c r="L313" i="6"/>
  <c r="E54" i="5"/>
  <c r="F89" i="4"/>
  <c r="L89" i="4" s="1"/>
  <c r="K89" i="4"/>
  <c r="L202" i="6"/>
  <c r="E36" i="5"/>
  <c r="F292" i="6"/>
  <c r="K292" i="6"/>
  <c r="K298" i="6"/>
  <c r="F298" i="6"/>
  <c r="B12" i="8"/>
  <c r="H40" i="5"/>
  <c r="I106" i="6"/>
  <c r="H34" i="5"/>
  <c r="E139" i="4" l="1"/>
  <c r="H53" i="5"/>
  <c r="F14" i="3"/>
  <c r="I14" i="1" s="1"/>
  <c r="K14" i="3"/>
  <c r="G59" i="5"/>
  <c r="H59" i="5" s="1"/>
  <c r="L347" i="6"/>
  <c r="G10" i="3"/>
  <c r="H10" i="3" s="1"/>
  <c r="F140" i="6"/>
  <c r="K140" i="6"/>
  <c r="K7" i="4"/>
  <c r="F7" i="4"/>
  <c r="E93" i="8"/>
  <c r="B96" i="8"/>
  <c r="E170" i="6"/>
  <c r="E163" i="6"/>
  <c r="H46" i="5"/>
  <c r="E26" i="5"/>
  <c r="L146" i="6"/>
  <c r="L42" i="6"/>
  <c r="E9" i="5"/>
  <c r="F299" i="6"/>
  <c r="L298" i="6"/>
  <c r="K84" i="6"/>
  <c r="F84" i="6"/>
  <c r="L84" i="6" s="1"/>
  <c r="K28" i="6"/>
  <c r="F28" i="6"/>
  <c r="L222" i="6"/>
  <c r="E39" i="5"/>
  <c r="G13" i="3"/>
  <c r="E12" i="8"/>
  <c r="B15" i="8"/>
  <c r="J111" i="6"/>
  <c r="K111" i="6"/>
  <c r="F293" i="6"/>
  <c r="L292" i="6"/>
  <c r="H287" i="4"/>
  <c r="L263" i="4"/>
  <c r="L105" i="6"/>
  <c r="F107" i="6"/>
  <c r="L97" i="6"/>
  <c r="E18" i="5"/>
  <c r="K61" i="6"/>
  <c r="F61" i="6"/>
  <c r="A54" i="8"/>
  <c r="K139" i="4"/>
  <c r="F139" i="4"/>
  <c r="L139" i="4" s="1"/>
  <c r="A12" i="8"/>
  <c r="H55" i="5"/>
  <c r="E68" i="6"/>
  <c r="E194" i="6"/>
  <c r="H36" i="5"/>
  <c r="L47" i="6"/>
  <c r="F48" i="6"/>
  <c r="E52" i="6"/>
  <c r="H44" i="5"/>
  <c r="E34" i="6"/>
  <c r="E83" i="6"/>
  <c r="H54" i="5"/>
  <c r="J106" i="6"/>
  <c r="K106" i="6"/>
  <c r="F21" i="6"/>
  <c r="K21" i="6"/>
  <c r="B57" i="8"/>
  <c r="G5" i="3" l="1"/>
  <c r="L140" i="6"/>
  <c r="F141" i="6"/>
  <c r="K109" i="4"/>
  <c r="F109" i="4"/>
  <c r="L7" i="4"/>
  <c r="F30" i="4"/>
  <c r="E6" i="3" s="1"/>
  <c r="F6" i="3" s="1"/>
  <c r="E20" i="5"/>
  <c r="E33" i="6"/>
  <c r="H39" i="5"/>
  <c r="E51" i="6"/>
  <c r="H26" i="5"/>
  <c r="E158" i="4"/>
  <c r="K194" i="6"/>
  <c r="F194" i="6"/>
  <c r="E57" i="8"/>
  <c r="B58" i="8"/>
  <c r="E58" i="8" s="1"/>
  <c r="H13" i="3"/>
  <c r="L13" i="3" s="1"/>
  <c r="K13" i="3"/>
  <c r="L21" i="6"/>
  <c r="F24" i="6"/>
  <c r="J107" i="6"/>
  <c r="G20" i="5" s="1"/>
  <c r="I136" i="4" s="1"/>
  <c r="J136" i="4" s="1"/>
  <c r="L106" i="6"/>
  <c r="F68" i="6"/>
  <c r="K68" i="6"/>
  <c r="L28" i="6"/>
  <c r="F29" i="6"/>
  <c r="G16" i="3"/>
  <c r="L287" i="4"/>
  <c r="K163" i="6"/>
  <c r="F163" i="6"/>
  <c r="L163" i="6" s="1"/>
  <c r="I164" i="6" s="1"/>
  <c r="L293" i="6"/>
  <c r="E51" i="5"/>
  <c r="F170" i="6"/>
  <c r="L170" i="6" s="1"/>
  <c r="I171" i="6" s="1"/>
  <c r="K170" i="6"/>
  <c r="E10" i="5"/>
  <c r="L48" i="6"/>
  <c r="F83" i="6"/>
  <c r="K83" i="6"/>
  <c r="J112" i="6"/>
  <c r="G21" i="5" s="1"/>
  <c r="I137" i="4" s="1"/>
  <c r="J137" i="4" s="1"/>
  <c r="L111" i="6"/>
  <c r="E96" i="8"/>
  <c r="L61" i="6"/>
  <c r="F62" i="6"/>
  <c r="E15" i="8"/>
  <c r="B16" i="8"/>
  <c r="E16" i="8" s="1"/>
  <c r="L299" i="6"/>
  <c r="E52" i="5"/>
  <c r="B102" i="8"/>
  <c r="E102" i="8" s="1"/>
  <c r="H18" i="5"/>
  <c r="E133" i="4"/>
  <c r="F34" i="6"/>
  <c r="L34" i="6" s="1"/>
  <c r="K34" i="6"/>
  <c r="K52" i="6"/>
  <c r="F52" i="6"/>
  <c r="L52" i="6" s="1"/>
  <c r="H9" i="5"/>
  <c r="E62" i="4"/>
  <c r="L141" i="6" l="1"/>
  <c r="E25" i="5"/>
  <c r="H25" i="5" s="1"/>
  <c r="B105" i="8"/>
  <c r="E105" i="8" s="1"/>
  <c r="L109" i="4"/>
  <c r="K62" i="4"/>
  <c r="F62" i="4"/>
  <c r="L62" i="4" s="1"/>
  <c r="E63" i="4"/>
  <c r="H10" i="5"/>
  <c r="E11" i="2"/>
  <c r="L29" i="6"/>
  <c r="E7" i="5"/>
  <c r="F195" i="6"/>
  <c r="L194" i="6"/>
  <c r="J171" i="6"/>
  <c r="K171" i="6"/>
  <c r="E134" i="6"/>
  <c r="H51" i="5"/>
  <c r="K158" i="4"/>
  <c r="F158" i="4"/>
  <c r="E12" i="5"/>
  <c r="L62" i="6"/>
  <c r="L68" i="6"/>
  <c r="F69" i="6"/>
  <c r="F85" i="6"/>
  <c r="L83" i="6"/>
  <c r="K164" i="6"/>
  <c r="J164" i="6"/>
  <c r="F51" i="6"/>
  <c r="K51" i="6"/>
  <c r="J156" i="4"/>
  <c r="I11" i="3" s="1"/>
  <c r="J11" i="3" s="1"/>
  <c r="K133" i="4"/>
  <c r="F133" i="4"/>
  <c r="L24" i="6"/>
  <c r="E6" i="5"/>
  <c r="K33" i="6"/>
  <c r="F33" i="6"/>
  <c r="H16" i="3"/>
  <c r="L16" i="3" s="1"/>
  <c r="E26" i="2" s="1"/>
  <c r="K16" i="3"/>
  <c r="H20" i="5"/>
  <c r="E136" i="4"/>
  <c r="E133" i="6"/>
  <c r="H52" i="5"/>
  <c r="L107" i="6"/>
  <c r="E143" i="4" l="1"/>
  <c r="E35" i="5"/>
  <c r="L195" i="6"/>
  <c r="L69" i="6"/>
  <c r="E13" i="5"/>
  <c r="E111" i="4" s="1"/>
  <c r="H7" i="5"/>
  <c r="E58" i="4"/>
  <c r="J165" i="6"/>
  <c r="L164" i="6"/>
  <c r="H5" i="3"/>
  <c r="L133" i="4"/>
  <c r="H12" i="5"/>
  <c r="E86" i="4"/>
  <c r="L85" i="6"/>
  <c r="E16" i="5"/>
  <c r="K133" i="6"/>
  <c r="F133" i="6"/>
  <c r="L158" i="4"/>
  <c r="F182" i="4"/>
  <c r="F63" i="4"/>
  <c r="L63" i="4" s="1"/>
  <c r="K63" i="4"/>
  <c r="J172" i="6"/>
  <c r="L171" i="6"/>
  <c r="L33" i="6"/>
  <c r="H6" i="5"/>
  <c r="E32" i="4"/>
  <c r="F136" i="4"/>
  <c r="L136" i="4" s="1"/>
  <c r="K136" i="4"/>
  <c r="L51" i="6"/>
  <c r="F53" i="6"/>
  <c r="K134" i="6"/>
  <c r="F134" i="6"/>
  <c r="L134" i="6" s="1"/>
  <c r="K111" i="4" l="1"/>
  <c r="F111" i="4"/>
  <c r="F130" i="4" s="1"/>
  <c r="L130" i="4" s="1"/>
  <c r="F143" i="4"/>
  <c r="L143" i="4" s="1"/>
  <c r="K143" i="4"/>
  <c r="H29" i="3"/>
  <c r="E8" i="2"/>
  <c r="G30" i="5"/>
  <c r="L165" i="6"/>
  <c r="K58" i="4"/>
  <c r="F58" i="4"/>
  <c r="L182" i="4"/>
  <c r="E12" i="3"/>
  <c r="L133" i="6"/>
  <c r="F135" i="6"/>
  <c r="H13" i="5"/>
  <c r="G31" i="5"/>
  <c r="L172" i="6"/>
  <c r="F32" i="4"/>
  <c r="F56" i="4" s="1"/>
  <c r="K32" i="4"/>
  <c r="E92" i="4"/>
  <c r="H16" i="5"/>
  <c r="E11" i="5"/>
  <c r="L53" i="6"/>
  <c r="K86" i="4"/>
  <c r="F86" i="4"/>
  <c r="L86" i="4" s="1"/>
  <c r="E110" i="6"/>
  <c r="H35" i="5"/>
  <c r="E18" i="2" l="1"/>
  <c r="E16" i="2"/>
  <c r="L111" i="4"/>
  <c r="E85" i="4"/>
  <c r="H11" i="5"/>
  <c r="K12" i="3"/>
  <c r="F12" i="3"/>
  <c r="L12" i="3" s="1"/>
  <c r="F92" i="4"/>
  <c r="L92" i="4" s="1"/>
  <c r="K92" i="4"/>
  <c r="L32" i="4"/>
  <c r="I8" i="6"/>
  <c r="H31" i="5"/>
  <c r="H30" i="5"/>
  <c r="I7" i="6"/>
  <c r="L58" i="4"/>
  <c r="E15" i="2"/>
  <c r="E17" i="2" s="1"/>
  <c r="E9" i="2"/>
  <c r="E10" i="2" s="1"/>
  <c r="K110" i="6"/>
  <c r="F110" i="6"/>
  <c r="L135" i="6"/>
  <c r="E24" i="5"/>
  <c r="E145" i="4" s="1"/>
  <c r="F145" i="4" l="1"/>
  <c r="L145" i="4" s="1"/>
  <c r="K145" i="4"/>
  <c r="E10" i="3"/>
  <c r="E14" i="2"/>
  <c r="E13" i="2"/>
  <c r="J7" i="6"/>
  <c r="L7" i="6" s="1"/>
  <c r="K7" i="6"/>
  <c r="E7" i="3"/>
  <c r="L56" i="4"/>
  <c r="H24" i="5"/>
  <c r="E142" i="4"/>
  <c r="J8" i="6"/>
  <c r="L8" i="6" s="1"/>
  <c r="K8" i="6"/>
  <c r="L110" i="6"/>
  <c r="F112" i="6"/>
  <c r="F85" i="4"/>
  <c r="F106" i="4" s="1"/>
  <c r="K85" i="4"/>
  <c r="F10" i="3" l="1"/>
  <c r="L10" i="3" s="1"/>
  <c r="K10" i="3"/>
  <c r="I9" i="6"/>
  <c r="J9" i="6" s="1"/>
  <c r="F7" i="3"/>
  <c r="L7" i="3" s="1"/>
  <c r="K7" i="3"/>
  <c r="K142" i="4"/>
  <c r="F142" i="4"/>
  <c r="L142" i="4" s="1"/>
  <c r="L85" i="4"/>
  <c r="L112" i="6"/>
  <c r="E21" i="5"/>
  <c r="K9" i="6" l="1"/>
  <c r="L106" i="4"/>
  <c r="E9" i="3"/>
  <c r="J10" i="6"/>
  <c r="L9" i="6"/>
  <c r="H21" i="5"/>
  <c r="E137" i="4"/>
  <c r="K137" i="4" l="1"/>
  <c r="F137" i="4"/>
  <c r="K9" i="3"/>
  <c r="F9" i="3"/>
  <c r="L9" i="3" s="1"/>
  <c r="G4" i="5"/>
  <c r="L10" i="6"/>
  <c r="I6" i="4" l="1"/>
  <c r="H4" i="5"/>
  <c r="L137" i="4"/>
  <c r="F156" i="4"/>
  <c r="L156" i="4" l="1"/>
  <c r="E11" i="3"/>
  <c r="J6" i="4"/>
  <c r="K6" i="4"/>
  <c r="J30" i="4" l="1"/>
  <c r="L6" i="4"/>
  <c r="K11" i="3"/>
  <c r="F11" i="3"/>
  <c r="L11" i="3" s="1"/>
  <c r="I6" i="3" l="1"/>
  <c r="L30" i="4"/>
  <c r="J6" i="3" l="1"/>
  <c r="I5" i="3" s="1"/>
  <c r="J5" i="3" s="1"/>
  <c r="K6" i="3"/>
  <c r="L6" i="3" l="1"/>
  <c r="J29" i="3" l="1"/>
  <c r="E12" i="2"/>
  <c r="E32" i="6" l="1"/>
  <c r="F32" i="6" l="1"/>
  <c r="K32" i="6"/>
  <c r="L32" i="6" l="1"/>
  <c r="F35" i="6"/>
  <c r="E8" i="5" l="1"/>
  <c r="L35" i="6"/>
  <c r="H8" i="5" l="1"/>
  <c r="E60" i="4"/>
  <c r="F60" i="4" l="1"/>
  <c r="F81" i="4" s="1"/>
  <c r="L81" i="4" s="1"/>
  <c r="K60" i="4"/>
  <c r="L60" i="4" l="1"/>
  <c r="E8" i="3" l="1"/>
  <c r="K8" i="3" l="1"/>
  <c r="F8" i="3"/>
  <c r="E5" i="3" s="1"/>
  <c r="L8" i="3" l="1"/>
  <c r="F5" i="3" l="1"/>
  <c r="K5" i="3"/>
  <c r="E4" i="2" l="1"/>
  <c r="E7" i="2" s="1"/>
  <c r="L5" i="3"/>
  <c r="L29" i="3" s="1"/>
  <c r="F29" i="3"/>
  <c r="E19" i="2" l="1"/>
  <c r="E21" i="2"/>
  <c r="E23" i="2"/>
  <c r="E20" i="2"/>
  <c r="E24" i="2"/>
  <c r="E27" i="2" l="1"/>
  <c r="E28" i="2" l="1"/>
  <c r="E29" i="2"/>
  <c r="I12" i="1" l="1"/>
  <c r="E36" i="2" l="1"/>
  <c r="I16" i="1" s="1"/>
  <c r="E10" i="1"/>
  <c r="F2" i="2" l="1"/>
</calcChain>
</file>

<file path=xl/sharedStrings.xml><?xml version="1.0" encoding="utf-8"?>
<sst xmlns="http://schemas.openxmlformats.org/spreadsheetml/2006/main" count="8485" uniqueCount="1304">
  <si>
    <t>유성페인트(붓칠)</t>
  </si>
  <si>
    <t>V5   사토장적재운반속도(KM/HR)  =15</t>
  </si>
  <si>
    <t>경비 조정률</t>
  </si>
  <si>
    <t>규      격</t>
  </si>
  <si>
    <t>15ton</t>
  </si>
  <si>
    <t>E   작업효율(양호0.9,보통0.75,불량0.6) = 0.75</t>
  </si>
  <si>
    <t>건설용거푸집, 강, 600×1200×63.5mm</t>
  </si>
  <si>
    <t>15</t>
  </si>
  <si>
    <t>ADA400200100</t>
  </si>
  <si>
    <t>L001010101000039</t>
  </si>
  <si>
    <t>건강보험료*12.27%</t>
  </si>
  <si>
    <t>철재면2회.1급</t>
  </si>
  <si>
    <t>0108  운반공사</t>
  </si>
  <si>
    <t xml:space="preserve">E1  터파기에 대하여 -0.05 =0.05 </t>
  </si>
  <si>
    <t>호표 29</t>
  </si>
  <si>
    <t>잡재료(박리재 등)</t>
  </si>
  <si>
    <t>L2  '시내외포장(KM)' =9.0</t>
  </si>
  <si>
    <t>YZD007000000</t>
  </si>
  <si>
    <t>계 * 6%</t>
  </si>
  <si>
    <t>q1  바켓용량(M3)  =0.7</t>
  </si>
  <si>
    <t>시너</t>
  </si>
  <si>
    <t>ANB11200020S</t>
  </si>
  <si>
    <t>용접와이어, CO2와이어</t>
  </si>
  <si>
    <t>t3   적하시간(MIN)양호0.5,보통0.8,불량1.1 =0.8</t>
  </si>
  <si>
    <t>( 호표 21 ) 치장쌓기 및 줄눈설치(0.5B) 3.6m 이하 M2</t>
  </si>
  <si>
    <t>중간처리 대상, 15ton 덤프트럭</t>
  </si>
  <si>
    <t>E  '작업효율(양호0.7,보통0.5,불량0.3)'= 0.5</t>
  </si>
  <si>
    <t>문화재 2-2</t>
  </si>
  <si>
    <t>자재 7</t>
  </si>
  <si>
    <t>규격</t>
  </si>
  <si>
    <t>0111  폐기물처리</t>
  </si>
  <si>
    <t>1111170120142524</t>
  </si>
  <si>
    <t>1451</t>
  </si>
  <si>
    <t>조사가격3</t>
  </si>
  <si>
    <t>1.01</t>
  </si>
  <si>
    <t>구        성        비</t>
  </si>
  <si>
    <t>자갈깔기지정</t>
  </si>
  <si>
    <t>공통 8-3,4(1630)</t>
  </si>
  <si>
    <t>CDK752201000</t>
  </si>
  <si>
    <t>f   토량환산계수(1/L) = 1/1.25= 0.8</t>
  </si>
  <si>
    <t>조합페인트</t>
  </si>
  <si>
    <t>'굴삭기(무한궤도) (0.4㎥/HR)'</t>
  </si>
  <si>
    <t>AGA10000010S</t>
  </si>
  <si>
    <t>L001010101000002</t>
  </si>
  <si>
    <t>V5  '사토장적재운반속도(KM/HR)' =15</t>
  </si>
  <si>
    <t>A30</t>
  </si>
  <si>
    <t>ANB112134000</t>
  </si>
  <si>
    <t>4014218623002252</t>
  </si>
  <si>
    <t>0.4 ㎥</t>
  </si>
  <si>
    <t>(AZZ+B10+Q10/1.1)*%%</t>
  </si>
  <si>
    <t>( 호표 26 ) 건설폐기물운반비 15톤덤프, 30KM (중간처리대상) 톤</t>
  </si>
  <si>
    <t>호표 23</t>
  </si>
  <si>
    <t>조합페인트, KSM6020-1종1급, 백색</t>
  </si>
  <si>
    <t>t2   왕복시간(MIN)  =((L1/V1)+(L1/V2)+(L2/V3)+(L2/V4)+(L3/V5)+(L3/V6))*60= 37.8571</t>
  </si>
  <si>
    <t>호표 5</t>
  </si>
  <si>
    <t>호표 36</t>
  </si>
  <si>
    <t>2</t>
  </si>
  <si>
    <t>( 호표 44 ) 공기압축기(이동식) 3.5㎥/min HR</t>
  </si>
  <si>
    <t>직접노무비 * 2.3%</t>
  </si>
  <si>
    <t>노임 6</t>
  </si>
  <si>
    <t>직접노무비*3.495%</t>
  </si>
  <si>
    <t>콘크리트구조물 헐기(소형장비)</t>
  </si>
  <si>
    <t>건축 8-1-3</t>
  </si>
  <si>
    <t>BZZ*%%</t>
  </si>
  <si>
    <t>P10</t>
  </si>
  <si>
    <t>L001010101000023</t>
  </si>
  <si>
    <t>시간당 노임산출 계수</t>
  </si>
  <si>
    <t>보통</t>
  </si>
  <si>
    <t>하차비</t>
  </si>
  <si>
    <t>r1   토석의 단위중량(톤)  =1.7</t>
  </si>
  <si>
    <t>자재 27</t>
  </si>
  <si>
    <t>M3</t>
  </si>
  <si>
    <t>CDH160010500</t>
  </si>
  <si>
    <t>토사 운반/단지외 10km</t>
  </si>
  <si>
    <t>( 호표 33 ) 유로폼 - 자재비 간단 10M2</t>
  </si>
  <si>
    <t>B10*%%</t>
  </si>
  <si>
    <t>공 사 원 가 계 산 서</t>
  </si>
  <si>
    <t>( 호표 40 ) 덤프트럭 자동덮개시설 15ton HR</t>
  </si>
  <si>
    <t>잡품</t>
  </si>
  <si>
    <t>건축 12-1-1</t>
  </si>
  <si>
    <t>인력품의 2%</t>
  </si>
  <si>
    <t>자재 28</t>
  </si>
  <si>
    <t>1/8*16/12*25/20</t>
  </si>
  <si>
    <t>우수관설치</t>
  </si>
  <si>
    <t>제초</t>
  </si>
  <si>
    <t>기계기구</t>
  </si>
  <si>
    <t>'1.덤프트럭 (15톤/HR)'</t>
  </si>
  <si>
    <t>기계구조용스테인리스강관, Φ101.6×3.0mm</t>
  </si>
  <si>
    <t>ZZB120100000</t>
  </si>
  <si>
    <t>L001010101000021</t>
  </si>
  <si>
    <t>산근</t>
  </si>
  <si>
    <t>42</t>
  </si>
  <si>
    <t>JUK20</t>
  </si>
  <si>
    <t>0.18</t>
  </si>
  <si>
    <t>-</t>
  </si>
  <si>
    <t>C30</t>
  </si>
  <si>
    <t>DZZ*%%</t>
  </si>
  <si>
    <t>AZZ+BZZ+CZZ</t>
  </si>
  <si>
    <t>ZZB130200000</t>
  </si>
  <si>
    <t>629</t>
  </si>
  <si>
    <t>조</t>
  </si>
  <si>
    <t>3010360410400021</t>
  </si>
  <si>
    <t>자재 3</t>
  </si>
  <si>
    <t>호표 7</t>
  </si>
  <si>
    <t>식</t>
  </si>
  <si>
    <t>101</t>
  </si>
  <si>
    <t>호표 48</t>
  </si>
  <si>
    <t>( 호표 13 ) 유성페인트(붓칠) 철재면2회.1급 M2</t>
  </si>
  <si>
    <t>노임 8</t>
  </si>
  <si>
    <t>[ 합           계 ]</t>
  </si>
  <si>
    <t>V6  '사토장공차운반속도(KM/HR)' =20</t>
  </si>
  <si>
    <t>주연료비의 38%</t>
  </si>
  <si>
    <t>.MA=LA(10, 20) * 0.01</t>
  </si>
  <si>
    <t>0106  대문이설공사</t>
  </si>
  <si>
    <t>재료비의 21%</t>
  </si>
  <si>
    <t>철골공</t>
  </si>
  <si>
    <t>0.7㎥</t>
  </si>
  <si>
    <t>되메우기/토사</t>
  </si>
  <si>
    <t>YZS005000000</t>
  </si>
  <si>
    <t>노무비 * 3.7%</t>
  </si>
  <si>
    <t>호표 17</t>
  </si>
  <si>
    <t>일위대가내역소수점처리</t>
  </si>
  <si>
    <t>노임 1</t>
  </si>
  <si>
    <t>0000520500350000</t>
  </si>
  <si>
    <t>레디믹스트콘크리트 타설(장비사용 타설)</t>
  </si>
  <si>
    <t>경비 14</t>
  </si>
  <si>
    <t>ZZ0000100000</t>
  </si>
  <si>
    <t>Q   시간당 작업량 (M3/Hr) = 3600*q1*k*f*E/Cm= 80.85</t>
  </si>
  <si>
    <t>JUK16</t>
  </si>
  <si>
    <t>철근공</t>
  </si>
  <si>
    <t>노임 17</t>
  </si>
  <si>
    <t>3.0*3.0*2.6m</t>
  </si>
  <si>
    <t>f  '토량환산계(C/L)'=C/L1=?</t>
  </si>
  <si>
    <t>89</t>
  </si>
  <si>
    <t>E   '작업효율' =0.9</t>
  </si>
  <si>
    <t>물가자료</t>
  </si>
  <si>
    <t>00001305000700000</t>
  </si>
  <si>
    <t>Cm  1회 싸이클시간(135˚SEC) =20</t>
  </si>
  <si>
    <t>L001010101000038</t>
  </si>
  <si>
    <t>경비 13</t>
  </si>
  <si>
    <t>공종코드</t>
  </si>
  <si>
    <t>AJD00100010S</t>
  </si>
  <si>
    <t>3121180321870998</t>
  </si>
  <si>
    <t>JUK14</t>
  </si>
  <si>
    <t>산업안전보건관리비</t>
  </si>
  <si>
    <t>ZZB200100000</t>
  </si>
  <si>
    <t>( 호표 27 ) 콘테이너형 가설건축물 설치 3.0*3.0*2.6m 개소</t>
  </si>
  <si>
    <t>JUK5</t>
  </si>
  <si>
    <t>노   무   비</t>
  </si>
  <si>
    <t>경비 단가 적용률</t>
  </si>
  <si>
    <t>ZZB110100000</t>
  </si>
  <si>
    <t>1111161120143101</t>
  </si>
  <si>
    <t>'2.래머,80kg'</t>
  </si>
  <si>
    <t>k   바켓계수(용이1.1) = 1.1</t>
  </si>
  <si>
    <t>84</t>
  </si>
  <si>
    <t>.MA=MA(30) * 0.22</t>
  </si>
  <si>
    <t>q1 '바켓용량(M3)'= 0.4</t>
  </si>
  <si>
    <t>자재 16</t>
  </si>
  <si>
    <t>AEE90200160S</t>
  </si>
  <si>
    <t>경비 10</t>
  </si>
  <si>
    <t>0000020100120000</t>
  </si>
  <si>
    <t>MBI105202200</t>
  </si>
  <si>
    <t>담당</t>
  </si>
  <si>
    <t>메모장</t>
  </si>
  <si>
    <t>자재 5</t>
  </si>
  <si>
    <t>경비단가적용</t>
  </si>
  <si>
    <t>호표 13</t>
  </si>
  <si>
    <t>평의자, 420×450×1800</t>
  </si>
  <si>
    <t>경비 할증 계수</t>
  </si>
  <si>
    <t>0103</t>
  </si>
  <si>
    <t>산근 3</t>
  </si>
  <si>
    <t>품목코드형식</t>
  </si>
  <si>
    <t>진동롤러(핸드가이드식)</t>
  </si>
  <si>
    <t>2210170300030020</t>
  </si>
  <si>
    <t>Q   시간당 작업량 (M3/Hr) = 3600*q1*k*f*E/Cm= 58.968</t>
  </si>
  <si>
    <t>하도급지급보증수수료</t>
  </si>
  <si>
    <t>85</t>
  </si>
  <si>
    <t>호표 33</t>
  </si>
  <si>
    <t>ADA401000111</t>
  </si>
  <si>
    <t>AAB21500090S</t>
  </si>
  <si>
    <t>노임 15</t>
  </si>
  <si>
    <t>관급자설치 관급자재</t>
  </si>
  <si>
    <t>( 호표 46 ) 와이어메시 바닥깔기 1800*1800 기준 M2</t>
  </si>
  <si>
    <t>장비일위</t>
  </si>
  <si>
    <t xml:space="preserve"> </t>
  </si>
  <si>
    <t>(재료비+직노+기계경비)*0%</t>
  </si>
  <si>
    <t>호표 43</t>
  </si>
  <si>
    <t>YZS003000000</t>
  </si>
  <si>
    <t>호표 32</t>
  </si>
  <si>
    <t>CDK82400020S</t>
  </si>
  <si>
    <t>CDK500100121</t>
  </si>
  <si>
    <t>[7등급+7등급미만] 130억 미만 ~ 81억(고시금액) 이상</t>
  </si>
  <si>
    <t>인력품의 50%</t>
  </si>
  <si>
    <t>'1.굴삭기(무한궤도) (0.7㎥/HR)'</t>
  </si>
  <si>
    <t>공 종 별 내 역 서</t>
  </si>
  <si>
    <t>건설기계대여금지급보증서발급수수료</t>
  </si>
  <si>
    <t>JUK18</t>
  </si>
  <si>
    <t>경    비</t>
  </si>
  <si>
    <t>ZZA000200000</t>
  </si>
  <si>
    <t>f   토량환산계(C/L) =C/L1= 0.7</t>
  </si>
  <si>
    <t>00000201002000000</t>
  </si>
  <si>
    <t>3019999420140323</t>
  </si>
  <si>
    <t>(AZZ+B10+C30)*%%</t>
  </si>
  <si>
    <t>3116210220135743</t>
  </si>
  <si>
    <t>00001630008000000</t>
  </si>
  <si>
    <t>공통 6-3-3.2</t>
  </si>
  <si>
    <t>조경공</t>
  </si>
  <si>
    <t>ANB112130210</t>
  </si>
  <si>
    <t>Type-Ⅰ</t>
  </si>
  <si>
    <t>1016159920281180</t>
  </si>
  <si>
    <t>자재 26</t>
  </si>
  <si>
    <t>호표 52</t>
  </si>
  <si>
    <t>자재 4</t>
  </si>
  <si>
    <t>0105</t>
  </si>
  <si>
    <t>조사가격2</t>
  </si>
  <si>
    <t>AFA12900010S</t>
  </si>
  <si>
    <t>이 Sheet는 수정하지 마십시요</t>
  </si>
  <si>
    <t>8900000000086110</t>
  </si>
  <si>
    <t>N  '1시간당 타격회수(회/HR)' =36000</t>
  </si>
  <si>
    <t>RBC11010100S</t>
  </si>
  <si>
    <t>일반공사 직종</t>
  </si>
  <si>
    <t>중 기 단 가 산 출 서</t>
  </si>
  <si>
    <t>( 호표 2 ) 공사안내판설치  M2</t>
  </si>
  <si>
    <t>코드</t>
  </si>
  <si>
    <t>ZZB130100000</t>
  </si>
  <si>
    <t>JUK9</t>
  </si>
  <si>
    <t>'노무비:' ~00000610015000000.L~ / {Q} =?LA+</t>
  </si>
  <si>
    <t>.MA=LA(10, 0, 20) * 0.02</t>
  </si>
  <si>
    <t>직  접  노  무  비</t>
  </si>
  <si>
    <t>단가명</t>
  </si>
  <si>
    <t>YZD014000000</t>
  </si>
  <si>
    <t>'재료비:' ~00000201004000000.M~ / {Q} =?MA+</t>
  </si>
  <si>
    <t>TTTTTTTT</t>
  </si>
  <si>
    <t>49</t>
  </si>
  <si>
    <t>00000602015000000</t>
  </si>
  <si>
    <t>일  반  관  리  비</t>
  </si>
  <si>
    <t>고  용  보  험  료</t>
  </si>
  <si>
    <t>부가세,조달수수료포함</t>
  </si>
  <si>
    <t>천원</t>
  </si>
  <si>
    <t>1214210422305334</t>
  </si>
  <si>
    <t>L</t>
  </si>
  <si>
    <t>ZZB800100000</t>
  </si>
  <si>
    <t>m</t>
  </si>
  <si>
    <t>중간처리 대상, 15ton 덤프트럭, 30km</t>
  </si>
  <si>
    <t>3.5 ㎥/min</t>
  </si>
  <si>
    <t>덤프트럭 자동덮개시설</t>
  </si>
  <si>
    <t>BZZ</t>
  </si>
  <si>
    <t>0106</t>
  </si>
  <si>
    <t>운      반      비</t>
  </si>
  <si>
    <t>HR</t>
  </si>
  <si>
    <t>0101  공통가설공사</t>
  </si>
  <si>
    <t>이형봉강(SD350/400), HD-10</t>
  </si>
  <si>
    <t>ANM020002000</t>
  </si>
  <si>
    <t>JUK4</t>
  </si>
  <si>
    <t>경비 8</t>
  </si>
  <si>
    <t>공통 6-1-1</t>
  </si>
  <si>
    <t>공사안내판설치</t>
  </si>
  <si>
    <t>공통 8-3,4(2104)</t>
  </si>
  <si>
    <t>L001010101000048</t>
  </si>
  <si>
    <t>노 무 비</t>
  </si>
  <si>
    <t>공사이행보증수수료</t>
  </si>
  <si>
    <t>품셈개요</t>
  </si>
  <si>
    <t>노무비 조정률</t>
  </si>
  <si>
    <t>E20</t>
  </si>
  <si>
    <t>래머</t>
  </si>
  <si>
    <t>품      명</t>
  </si>
  <si>
    <t>부  가  가  치  세</t>
  </si>
  <si>
    <t>0.69</t>
  </si>
  <si>
    <t>15 ton</t>
  </si>
  <si>
    <t>철근구조물, 굴삭기(무한궤도), 0.7m3</t>
  </si>
  <si>
    <t>78</t>
  </si>
  <si>
    <t>L001010101000029</t>
  </si>
  <si>
    <t>L001010101000008</t>
  </si>
  <si>
    <t>Cms '적재기계 1회 싸이클시간(SEC)' =20</t>
  </si>
  <si>
    <t>( 호표 4 ) 터파기(문화재구역내, 기계장비) 굴삭기(무한궤도), 0.12㎥ M3</t>
  </si>
  <si>
    <t>호표 53</t>
  </si>
  <si>
    <t>A10</t>
  </si>
  <si>
    <t>f  '토량환산계(L1/L1)'=L1/L1=?</t>
  </si>
  <si>
    <t>호표 49</t>
  </si>
  <si>
    <t>호표 3</t>
  </si>
  <si>
    <t>형틀목공</t>
  </si>
  <si>
    <t>인력품의 4%</t>
  </si>
  <si>
    <t>호표 9</t>
  </si>
  <si>
    <t>AIC10000030S</t>
  </si>
  <si>
    <t>t6   세륜시간 (MIN)  =1.5</t>
  </si>
  <si>
    <t>JUK11</t>
  </si>
  <si>
    <t>호표 16</t>
  </si>
  <si>
    <t>'노무비:' ~00000602015000000.L~ / {Q} =?LA+</t>
  </si>
  <si>
    <t>q1 '바켓용량(M3)' =0.70</t>
  </si>
  <si>
    <t>노임 10</t>
  </si>
  <si>
    <t>국민  연금  보험료</t>
  </si>
  <si>
    <t>( 호표 47 ) 모르타르 배합 모래채가름 포함 M3</t>
  </si>
  <si>
    <t>CC0</t>
  </si>
  <si>
    <t>f   토량환산계수(C/L) = 0.875/1.25= 0.7</t>
  </si>
  <si>
    <t>컨테이너하우스</t>
  </si>
  <si>
    <t>인력품의 3%</t>
  </si>
  <si>
    <t>JUK2</t>
  </si>
  <si>
    <t>.MA=MA(30) * 0.13</t>
  </si>
  <si>
    <t>굴삭기(무한궤도), 0.12㎥</t>
  </si>
  <si>
    <t>유로폼 - 자재비</t>
  </si>
  <si>
    <t>167</t>
  </si>
  <si>
    <t>AAD150104100</t>
  </si>
  <si>
    <t>모르타르 배합(배합품 포함)</t>
  </si>
  <si>
    <t>배합용적비 1:3, 시멘트, 모래 별도</t>
  </si>
  <si>
    <t>현장용접(CO2 반자동 용접)</t>
  </si>
  <si>
    <t>3010990220145130</t>
  </si>
  <si>
    <t>비      고</t>
  </si>
  <si>
    <t>0111</t>
  </si>
  <si>
    <t>재료비 조정률</t>
  </si>
  <si>
    <t>JUK8</t>
  </si>
  <si>
    <t>노임 16</t>
  </si>
  <si>
    <t>ADA40100070S</t>
  </si>
  <si>
    <t>자재 19</t>
  </si>
  <si>
    <t>B20</t>
  </si>
  <si>
    <t>공통 8-3,4(1305)</t>
  </si>
  <si>
    <t>호표 28</t>
  </si>
  <si>
    <t>5</t>
  </si>
  <si>
    <t>.MA=MA(30) * 0.21</t>
  </si>
  <si>
    <t>1회 사이클시간</t>
  </si>
  <si>
    <t>k  '바켓계수(양호1.1,보통0.90,불량0.70,파쇄암0.55)'= 0.90</t>
  </si>
  <si>
    <t>Q   시간당 작업량 (M3/Hr) = 3600*q1*k*f*E/Cm= 55.44</t>
  </si>
  <si>
    <t>JUK17</t>
  </si>
  <si>
    <t>ZZB140100000</t>
  </si>
  <si>
    <t>이산화탄소가스</t>
  </si>
  <si>
    <t>0101</t>
  </si>
  <si>
    <t>.MA=MA(30) * 0.1</t>
  </si>
  <si>
    <t>간단, 수직고 7m까지</t>
  </si>
  <si>
    <t>공통 8-3,4(0602)</t>
  </si>
  <si>
    <t>유성페인트 붓칠 - 재료비</t>
  </si>
  <si>
    <t>조경용수목, 담쟁이덩굴, 수관길이=0.4, 2-3년</t>
  </si>
  <si>
    <t>간  접  노  무  비</t>
  </si>
  <si>
    <t>t2  '왕복시간(MIN)' =((L1/V1)+(L1/V2)+(L2/V3)+(L2/V4)+(L3/V5)+(L3/V6))*60=?</t>
  </si>
  <si>
    <t>01  흥원(주변지역)정비공사</t>
  </si>
  <si>
    <t>Q  '시간당 작업량(M3/HR)' =A*N*H*f*E/P=?</t>
  </si>
  <si>
    <t>호표 11</t>
  </si>
  <si>
    <t>ZZB400100000</t>
  </si>
  <si>
    <t>앵커볼트</t>
  </si>
  <si>
    <t>L001010101000015</t>
  </si>
  <si>
    <t>132</t>
  </si>
  <si>
    <t>147</t>
  </si>
  <si>
    <t>L001010101000013</t>
  </si>
  <si>
    <t>시간당작업량</t>
  </si>
  <si>
    <t>3.495</t>
  </si>
  <si>
    <t>CQ0</t>
  </si>
  <si>
    <t>3010161920160912</t>
  </si>
  <si>
    <t>(재료비+노무비)*6.7%</t>
  </si>
  <si>
    <t>( 호표 35 ) 굴삭기(무한궤도) 0.12㎥ HR</t>
  </si>
  <si>
    <t>t5  '적재합자동덮개설치및해체(MIN)' =0.5</t>
  </si>
  <si>
    <t>A  '1회당 유호 다짐면적(M2)' =0.28*0.33=?</t>
  </si>
  <si>
    <t>비계공</t>
  </si>
  <si>
    <t>Q20</t>
  </si>
  <si>
    <t>원내역</t>
  </si>
  <si>
    <t>자재단가적용</t>
  </si>
  <si>
    <t>3019999420140365</t>
  </si>
  <si>
    <t>철근콘크리트용봉강</t>
  </si>
  <si>
    <t>10</t>
  </si>
  <si>
    <t>산근 2</t>
  </si>
  <si>
    <t>( 호표 29 ) 초화류식재 보통 주</t>
  </si>
  <si>
    <t>11.6</t>
  </si>
  <si>
    <t>C20+C30+C70+C90+CA0+CB0+CC0+CE0+C60+CH0+CD0+CH3+CH4+CQ0+CT0+CU0+CV0+CW0</t>
  </si>
  <si>
    <t>건설폐기물운반비</t>
  </si>
  <si>
    <t>Q    시간당 작업량(M3/HR)  =60*q1*f*E/Cm= 10.0429</t>
  </si>
  <si>
    <t>과장</t>
  </si>
  <si>
    <t>.MA=MA(20) * 0.38</t>
  </si>
  <si>
    <t>유성페인트 붓칠</t>
  </si>
  <si>
    <t>P30+Q10+Q20+Q30+Q40+Q50+Q60</t>
  </si>
  <si>
    <t>k  '바켓계수(용이1.1)'= 1.1</t>
  </si>
  <si>
    <t>.MA=MA(10, 20) * 0.24</t>
  </si>
  <si>
    <t>자재 20</t>
  </si>
  <si>
    <t>'경  비:' ~00001630008000000.E~ / {Q} =?EQ+</t>
  </si>
  <si>
    <t>잡재료</t>
  </si>
  <si>
    <t>모래채가름 포함</t>
  </si>
  <si>
    <t>( 호표 3 ) 콘크리트구조물 헐기(소형장비) 공압식, 무근 M3</t>
  </si>
  <si>
    <t>터파기/토사</t>
  </si>
  <si>
    <t>자재 18</t>
  </si>
  <si>
    <t>L1  '단지내운반거리(KM)' =0.5</t>
  </si>
  <si>
    <t xml:space="preserve">총공사비 : </t>
  </si>
  <si>
    <t>공통 6-3-3</t>
  </si>
  <si>
    <t>경 비</t>
  </si>
  <si>
    <t>[ 소          계 ]</t>
  </si>
  <si>
    <t>3023169920139633</t>
  </si>
  <si>
    <t>0107  조경공사</t>
  </si>
  <si>
    <t>0109</t>
  </si>
  <si>
    <t>치장쌓기 및 줄눈설치(0.5B)</t>
  </si>
  <si>
    <t>조달청가격</t>
  </si>
  <si>
    <t>자재 13</t>
  </si>
  <si>
    <t>건설용거푸집</t>
  </si>
  <si>
    <t>산근 1</t>
  </si>
  <si>
    <t>공통 2-3-2</t>
  </si>
  <si>
    <t>231</t>
  </si>
  <si>
    <t>경비 5</t>
  </si>
  <si>
    <t>경유, 저유황</t>
  </si>
  <si>
    <t>( 호표 34 ) 유로폼 - 인력투입 간단, 수직고 7m까지 M2</t>
  </si>
  <si>
    <t>0109  관급자재</t>
  </si>
  <si>
    <t>거래가격</t>
  </si>
  <si>
    <t>CW0</t>
  </si>
  <si>
    <t>E   작업효율(양호0.7,보통0.5,불량0.3) = 0.5</t>
  </si>
  <si>
    <t>재료비의 5%</t>
  </si>
  <si>
    <t>합산제외</t>
  </si>
  <si>
    <t>F</t>
  </si>
  <si>
    <t>자재 17</t>
  </si>
  <si>
    <t>경비 15</t>
  </si>
  <si>
    <t>호표 26</t>
  </si>
  <si>
    <t>노임 14</t>
  </si>
  <si>
    <t>.MA=MA(10, 0, 20) * 0.05</t>
  </si>
  <si>
    <t>비 고</t>
  </si>
  <si>
    <t>경비 1</t>
  </si>
  <si>
    <t>공통 6-2-2, 6-2-3</t>
  </si>
  <si>
    <t>1510150620282203</t>
  </si>
  <si>
    <t>ZZC000100000</t>
  </si>
  <si>
    <t>YZS004000000</t>
  </si>
  <si>
    <t>'운반거리 : 단지대L1=0.5KM,시내외L2=9.0KM,사토장L3=0.5KM'</t>
  </si>
  <si>
    <t>계</t>
  </si>
  <si>
    <t>특별인부</t>
  </si>
  <si>
    <t>쇄석자갈, 서울, 도착도, 40mm</t>
  </si>
  <si>
    <t>( 호표 45 ) 소형브레이커(공압식) 1.3㎥/min HR</t>
  </si>
  <si>
    <t>담쟁이 식재</t>
  </si>
  <si>
    <t>경유</t>
  </si>
  <si>
    <t>ROUND(5/8/&lt;Q&gt;(1000/100/8/1), 5)</t>
  </si>
  <si>
    <t>AAD150101400</t>
  </si>
  <si>
    <t>15층 이하 기준</t>
  </si>
  <si>
    <t>철근 현장가공 및 현장조립</t>
  </si>
  <si>
    <t>DZZ+E10+E20+CE1+F30+F40+F10+F60+F70</t>
  </si>
  <si>
    <t>C90</t>
  </si>
  <si>
    <t>미장벽돌, 미장벽돌, 미장벽돌, 190*90*57mm, 견출1종 - 별도</t>
  </si>
  <si>
    <t>k   바켓계수(양호1.1,보통0.90,불량0.70,파쇄암0.55) = 0.9</t>
  </si>
  <si>
    <t>부자재(웨지핀,플랫타이,강관파이프,후크)</t>
  </si>
  <si>
    <t>본</t>
  </si>
  <si>
    <t>RAB21010010S</t>
  </si>
  <si>
    <t>2.3</t>
  </si>
  <si>
    <t>호표 12</t>
  </si>
  <si>
    <t>조적공</t>
  </si>
  <si>
    <t>자재 2</t>
  </si>
  <si>
    <t>'노무비:' ~00000201004000000.L~ / {Q} =?LA+</t>
  </si>
  <si>
    <t>개소</t>
  </si>
  <si>
    <t>k  '바켓계수'= 1.1</t>
  </si>
  <si>
    <t>Q  '시간당 작업량 (M3/Hr)'= 3600*q1*k*f*E/Cm=?</t>
  </si>
  <si>
    <t xml:space="preserve"> 1.덤프트럭 (15톤/HR) </t>
  </si>
  <si>
    <t>f   '토량 환산계수(1/L)' =1/L=?</t>
  </si>
  <si>
    <t>매</t>
  </si>
  <si>
    <t>공압식, 무근</t>
  </si>
  <si>
    <t>도장공</t>
  </si>
  <si>
    <t>노임 13</t>
  </si>
  <si>
    <t>80kg</t>
  </si>
  <si>
    <t>부215(06.1)</t>
  </si>
  <si>
    <t>JUK6</t>
  </si>
  <si>
    <t>V4   시내외포장공차운반속도(KM/HR)  =35</t>
  </si>
  <si>
    <t>A   1회당 유호 다짐면적(M2)  =0.28*0.33= 0.0924</t>
  </si>
  <si>
    <t>할증</t>
  </si>
  <si>
    <t>바닥, #6-100×100</t>
  </si>
  <si>
    <t>Q   시간당 작업량(M3/HR)  =A*N*H*f*E/P= 4.3768</t>
  </si>
  <si>
    <t>건설폐기물상차비</t>
  </si>
  <si>
    <t>물가정보</t>
  </si>
  <si>
    <t>3.7</t>
  </si>
  <si>
    <t>E  '작업효율사질토(양호0.85,보통0.70,불량0.55)'= 0.70-E1=?</t>
  </si>
  <si>
    <t xml:space="preserve"> 1.굴삭기(무한궤도) (0.7㎥/HR) </t>
  </si>
  <si>
    <t>CDH101010400  되메우기/토사  보통, 유압식백호 0.4m3  M3  ( 산근 1 )</t>
  </si>
  <si>
    <t>인력품의 1%</t>
  </si>
  <si>
    <t>공통 4-1-3</t>
  </si>
  <si>
    <t>PPS00000001</t>
  </si>
  <si>
    <t>호표 31</t>
  </si>
  <si>
    <t>1189</t>
  </si>
  <si>
    <t>8015001001001010</t>
  </si>
  <si>
    <t>호표 14</t>
  </si>
  <si>
    <t>(재료비+직노+도급자관급) * 2.93%</t>
  </si>
  <si>
    <t>노인장기요양보험료</t>
  </si>
  <si>
    <t>JUK15</t>
  </si>
  <si>
    <t>설 계 서 용 지 (갑 지)</t>
  </si>
  <si>
    <t>0.7 톤</t>
  </si>
  <si>
    <t>0104</t>
  </si>
  <si>
    <t>( 호표 16 ) 철근콘크리트용봉강[자재] 이형봉강(SD350/400), HD-10 TON</t>
  </si>
  <si>
    <t>적용률</t>
  </si>
  <si>
    <t>관의 3%</t>
  </si>
  <si>
    <t>공통 8-3,4(0201)</t>
  </si>
  <si>
    <t>덤프트럭</t>
  </si>
  <si>
    <t>0000020100700000</t>
  </si>
  <si>
    <t>f  '토량환산계수(1/L)'= 1/1.25=?</t>
  </si>
  <si>
    <t>.MA=LA(10, 20) * 0.02</t>
  </si>
  <si>
    <t>건설폐기물 상차비 - 중량기준</t>
  </si>
  <si>
    <t>ZZD000100000</t>
  </si>
  <si>
    <t>검수자</t>
  </si>
  <si>
    <t>P10+P20</t>
  </si>
  <si>
    <t>용접철망, 동화메탈공업, 와이어메시, #6-100×100</t>
  </si>
  <si>
    <t>노임구분</t>
  </si>
  <si>
    <t>수량</t>
  </si>
  <si>
    <t>752</t>
  </si>
  <si>
    <t>t5   적재합자동덮개설치및해체(MIN)  =0.5</t>
  </si>
  <si>
    <t>H   다짐두께(M)  =0.15</t>
  </si>
  <si>
    <t>CDH160010500  되메우기/토사, 두께 15cm  보통, 유압식백호 0.7m3+래머 80kg  M3  ( 산근 3 )</t>
  </si>
  <si>
    <t xml:space="preserve"> [ 합          계 ]</t>
  </si>
  <si>
    <t>P30</t>
  </si>
  <si>
    <t>00000201004000000</t>
  </si>
  <si>
    <t>B10+B20</t>
  </si>
  <si>
    <t>비  고</t>
  </si>
  <si>
    <t>호표 22</t>
  </si>
  <si>
    <t>70</t>
  </si>
  <si>
    <t>공급가액 * 10%</t>
  </si>
  <si>
    <t>기계구조용합금강강관, 아연도각관, 100×100×3.2mm</t>
  </si>
  <si>
    <t>호표 20</t>
  </si>
  <si>
    <t>용접공</t>
  </si>
  <si>
    <t>YZA001000000</t>
  </si>
  <si>
    <t>철재면, 2회 칠, 1급</t>
  </si>
  <si>
    <t>환경보전비</t>
  </si>
  <si>
    <t>경비 12</t>
  </si>
  <si>
    <t>철선, 어닐링, Φ0.9mm</t>
  </si>
  <si>
    <t>합 계</t>
  </si>
  <si>
    <t>Type-Ⅰ, 소형구조물</t>
  </si>
  <si>
    <t>( 호표 17 ) 철근 현장가공 및 현장조립 Type-Ⅰ, 소형구조물 TON</t>
  </si>
  <si>
    <t>CEE000110120</t>
  </si>
  <si>
    <t>ZZG000100000</t>
  </si>
  <si>
    <t>호표 45</t>
  </si>
  <si>
    <t>시간당 작업사이클</t>
  </si>
  <si>
    <t>ROUND(1/8/&lt;Q&gt;(1000/100/8/1), 5)</t>
  </si>
  <si>
    <t>기타</t>
  </si>
  <si>
    <t>( 호표 30 ) 철근 현장가공 Type-Ⅰ TON</t>
  </si>
  <si>
    <t>호표 1</t>
  </si>
  <si>
    <t>도급자설치 관급자재</t>
  </si>
  <si>
    <t>T=100mm 21Mpa 습식 산책로</t>
  </si>
  <si>
    <t>노임 4</t>
  </si>
  <si>
    <t>CD0</t>
  </si>
  <si>
    <t>Cms  적재기계 1회 싸이클시간(SEC)  =20</t>
  </si>
  <si>
    <t>공종구분명</t>
  </si>
  <si>
    <t>0000061001500000</t>
  </si>
  <si>
    <t>.MA=MA(20) * 0.16</t>
  </si>
  <si>
    <t>콘테이너형 가설건축물 해체</t>
  </si>
  <si>
    <t>CT0</t>
  </si>
  <si>
    <t>인</t>
  </si>
  <si>
    <t>노무비의 2%</t>
  </si>
  <si>
    <t>.MA=LA(10, 20, 30) * 0.02</t>
  </si>
  <si>
    <t>건축 2-1-2</t>
  </si>
  <si>
    <t>YZA002000000</t>
  </si>
  <si>
    <t>건축 9-1-1</t>
  </si>
  <si>
    <t>ADF00000050S</t>
  </si>
  <si>
    <t>0.045</t>
  </si>
  <si>
    <t>철선-서울</t>
  </si>
  <si>
    <t>H  '다짐두께(M)' =0.15</t>
  </si>
  <si>
    <t>산 출 내 역</t>
  </si>
  <si>
    <t>( 호표 38 ) 굴삭기(무한궤도) 0.7㎥ HR</t>
  </si>
  <si>
    <t>'경  비:' ~00000201004000000.E~ / {Q} =?EQ+</t>
  </si>
  <si>
    <t>k   바켓계수 = 1.1</t>
  </si>
  <si>
    <t>L001010101000007</t>
  </si>
  <si>
    <t>.EQ=LA(10, 20) * 0.03</t>
  </si>
  <si>
    <t>SEQNO</t>
  </si>
  <si>
    <t>Q   '시간당 작업량(M3/HR)' =60*q1*f*E/Cm=?</t>
  </si>
  <si>
    <t>L1  흐트러진상태  =1.25</t>
  </si>
  <si>
    <t>Cm  1회 싸이클시간(90˚sec) =15</t>
  </si>
  <si>
    <t>0.019</t>
  </si>
  <si>
    <t>주</t>
  </si>
  <si>
    <t>.MA = MA(10, 0, 20) * 0.04</t>
  </si>
  <si>
    <t>호표 30</t>
  </si>
  <si>
    <t>V4  '시내외포장공차운반속도(KM/HR)' =35</t>
  </si>
  <si>
    <t>E  '작업효율(양호0.9,보통0.75,불량0.6)'= 0.75</t>
  </si>
  <si>
    <t>A20</t>
  </si>
  <si>
    <t>'○------------------0------------0----------------○10KM'</t>
  </si>
  <si>
    <t>.MA=LA(10) * 0.02</t>
  </si>
  <si>
    <t>L001010101000006</t>
  </si>
  <si>
    <t>자재 34</t>
  </si>
  <si>
    <t>패널 재료비의 24%</t>
  </si>
  <si>
    <t>중 기 단 가 목 록</t>
  </si>
  <si>
    <t>80 kg</t>
  </si>
  <si>
    <t>L001010101000050</t>
  </si>
  <si>
    <t>CU0</t>
  </si>
  <si>
    <t>q1   1회 적재량(M3)  =T/r1*L= 11.0294</t>
  </si>
  <si>
    <t>유로폼 - 인력투입</t>
  </si>
  <si>
    <t>최저가대상공사</t>
  </si>
  <si>
    <t>C   다져진상태 =0.875</t>
  </si>
  <si>
    <t>0000130500070000</t>
  </si>
  <si>
    <t>Es   작업효율(양호0.9,보통0.75,불량0.6) = 0.75</t>
  </si>
  <si>
    <t>재료비의 13%</t>
  </si>
  <si>
    <t>00000201007000000</t>
  </si>
  <si>
    <t>CDE100210700</t>
  </si>
  <si>
    <t>3011160120142681</t>
  </si>
  <si>
    <t>경      비</t>
  </si>
  <si>
    <t>일반변수</t>
  </si>
  <si>
    <t>철근 현장가공</t>
  </si>
  <si>
    <t>3013160223912133</t>
  </si>
  <si>
    <t>P10*%%</t>
  </si>
  <si>
    <t>용접철망</t>
  </si>
  <si>
    <t>01</t>
  </si>
  <si>
    <t>모든 건설공사</t>
  </si>
  <si>
    <t>노  무  비</t>
  </si>
  <si>
    <t>0.7ton</t>
  </si>
  <si>
    <t>일 위 대 가</t>
  </si>
  <si>
    <t>Cm   1회 싸이클 시간(MIN)  =Cms*n/(60*Es)+t2+t3+t4+t5+t6= 47.4433</t>
  </si>
  <si>
    <t>0110  수리보고서</t>
  </si>
  <si>
    <t>( 호표 1 ) 컨테이너형 가설건축물 - 사무실 3.0×3.0×2.6m, 3개월 개소</t>
  </si>
  <si>
    <t>V1   단지내적재운반속도(KM/HR)  =15</t>
  </si>
  <si>
    <t>각장 6mm 환산용접 길이</t>
  </si>
  <si>
    <t>V3  '시내외포장적재운반속도(KM/HR)' =35</t>
  </si>
  <si>
    <t>0.034</t>
  </si>
  <si>
    <t>4924159820275805</t>
  </si>
  <si>
    <t>노임 7</t>
  </si>
  <si>
    <t>00005210001300000</t>
  </si>
  <si>
    <t>JUK7</t>
  </si>
  <si>
    <t>( 호표 37 ) 굴삭기(무한궤도) 0.4㎥ HR</t>
  </si>
  <si>
    <t>간단</t>
  </si>
  <si>
    <t>17</t>
  </si>
  <si>
    <t>n    덤프트럭 소요 백호 적재회수  =q1/(0.7*k)= 14.3238</t>
  </si>
  <si>
    <t>공통 8-3,4(5205)</t>
  </si>
  <si>
    <t>추정금액 1억원이상 건설공사</t>
  </si>
  <si>
    <t xml:space="preserve"> 굴삭기(무한궤도) (0.4㎥/HR) </t>
  </si>
  <si>
    <t>L    토량 변화율  =1.25</t>
  </si>
  <si>
    <t>조정률</t>
  </si>
  <si>
    <t>일 위 대 가 목 록</t>
  </si>
  <si>
    <t>DZZ</t>
  </si>
  <si>
    <t>재   료   비</t>
  </si>
  <si>
    <t>TOTAL</t>
  </si>
  <si>
    <t>( 호표 28 ) 콘테이너형 가설건축물 해체 3.0*3.0*2.6m 개소</t>
  </si>
  <si>
    <t>직  접  재  료  비</t>
  </si>
  <si>
    <t>재료비 할증 계수</t>
  </si>
  <si>
    <t>77</t>
  </si>
  <si>
    <t>V6   사토장공차운반속도(KM/HR)  =20</t>
  </si>
  <si>
    <t>'재료비:' ~00000610015000000.M~ / {Q} =?MA+</t>
  </si>
  <si>
    <t>노임 2</t>
  </si>
  <si>
    <t>건축 1-2-5</t>
  </si>
  <si>
    <t>P  '중복 다짐회수(회)' =57</t>
  </si>
  <si>
    <t>공통 6-2-2</t>
  </si>
  <si>
    <t>( 호표 15 ) 레디믹스트콘크리트 타설(장비사용 타설) 철근구조물, 굴삭기(무한궤도), 0.7m3 M3</t>
  </si>
  <si>
    <t>0.22</t>
  </si>
  <si>
    <t>용접와이어</t>
  </si>
  <si>
    <t>L3   사토장비포장(KM)  =0.5</t>
  </si>
  <si>
    <t>Cm '1회 싸이클시간(90˚sec)'=15</t>
  </si>
  <si>
    <t>CEE00000010S</t>
  </si>
  <si>
    <t>3011150521001722</t>
  </si>
  <si>
    <t>0.2 ㎥</t>
  </si>
  <si>
    <t>n   '덤프트럭 소요 백호 적재회수' =q1/(0.7*k)=?</t>
  </si>
  <si>
    <t>손료저장</t>
  </si>
  <si>
    <t>t6  '세륜시간 (MIN)' =1.5</t>
  </si>
  <si>
    <t>일위대가</t>
  </si>
  <si>
    <t>YZD015000000</t>
  </si>
  <si>
    <t>직접노무비 * 4.5%</t>
  </si>
  <si>
    <t>굴삭기(무한궤도)</t>
  </si>
  <si>
    <t>건설용거푸집, 내벽코너패널, 200+200, 1200mm</t>
  </si>
  <si>
    <t>자재 22</t>
  </si>
  <si>
    <t>잡재료비</t>
  </si>
  <si>
    <t>노무비단가적용</t>
  </si>
  <si>
    <t>CZZ</t>
  </si>
  <si>
    <t>AAB215100010</t>
  </si>
  <si>
    <t>재료비의 22%</t>
  </si>
  <si>
    <t>경        비</t>
  </si>
  <si>
    <t>CDF300130010  토사 운반/단지외 10km  보통, 덤프 15톤+백호0.7(적재, 고르기 별도)  M3  ( 산근 4 )</t>
  </si>
  <si>
    <t>재료비의 16%</t>
  </si>
  <si>
    <t>0.4㎥</t>
  </si>
  <si>
    <t>퇴직  공제  부금비</t>
  </si>
  <si>
    <t>( 호표 48 ) 모르타르 배합(배합품 포함) 배합용적비 1:1, 시멘트, 모래 별도 M3</t>
  </si>
  <si>
    <t>0.2</t>
  </si>
  <si>
    <t>f    토량 환산계수(1/L)  =1/L= 0.8</t>
  </si>
  <si>
    <t>CH0</t>
  </si>
  <si>
    <t>ZZB500100000</t>
  </si>
  <si>
    <t>V1  '단지내적재운반속도(KM/HR)' =15</t>
  </si>
  <si>
    <t>(별도)</t>
  </si>
  <si>
    <t>인력품의 9%</t>
  </si>
  <si>
    <t>YZS002000000</t>
  </si>
  <si>
    <t>AGA10001030S</t>
  </si>
  <si>
    <t>&gt;'[ 소   계 ]'</t>
  </si>
  <si>
    <t>f   토량환산계(L1/L1) =L1/L1= 1</t>
  </si>
  <si>
    <t>58</t>
  </si>
  <si>
    <t>주재료비의 4%</t>
  </si>
  <si>
    <t>( 호표 41 ) 진동롤러(핸드가이드식) 0.7ton HR</t>
  </si>
  <si>
    <t>문화재 3-9</t>
  </si>
  <si>
    <t>ADB000003020</t>
  </si>
  <si>
    <t>.MA=LA(10, 0, 40) * 0.02</t>
  </si>
  <si>
    <t>자재 30</t>
  </si>
  <si>
    <t>f  '토량환산계수(C/L)'= 0.875/1.25=?</t>
  </si>
  <si>
    <t>615</t>
  </si>
  <si>
    <t>( 호표 39 ) 덤프트럭 15ton HR</t>
  </si>
  <si>
    <t>0.12 ㎥</t>
  </si>
  <si>
    <t>1/8*16/12*25/20*12/10</t>
  </si>
  <si>
    <t>변수</t>
  </si>
  <si>
    <t>ADF00000100S</t>
  </si>
  <si>
    <t>( 호표 42 ) 래머 80kg HR</t>
  </si>
  <si>
    <t>보통, 유압식백호 0.7m3+래머 80kg</t>
  </si>
  <si>
    <t>Es  '작업효율(양호0.9,보통0.75,불량0.6)'= 0.75</t>
  </si>
  <si>
    <t>공통 3-2-4</t>
  </si>
  <si>
    <t xml:space="preserve">총공사비                                                          :       \ </t>
  </si>
  <si>
    <t>N   1시간당 타격회수(회/HR)  =36000</t>
  </si>
  <si>
    <t>( 호표 25 ) 건설폐기물상차비 15톤덤프트럭기준 톤</t>
  </si>
  <si>
    <t/>
  </si>
  <si>
    <t>재료비 단가 적용률</t>
  </si>
  <si>
    <t>자재 11</t>
  </si>
  <si>
    <t>L001010101000011</t>
  </si>
  <si>
    <t>0.12㎥</t>
  </si>
  <si>
    <t>작업설, 부산물(△)</t>
  </si>
  <si>
    <t>0107</t>
  </si>
  <si>
    <t>3121159920277084</t>
  </si>
  <si>
    <t>되메우기/토사, 두께 15cm</t>
  </si>
  <si>
    <t>AAD151100010</t>
  </si>
  <si>
    <t>착암공</t>
  </si>
  <si>
    <t>호표 24</t>
  </si>
  <si>
    <t>건축목공</t>
  </si>
  <si>
    <t>유로폼 설치 및 해체</t>
  </si>
  <si>
    <t>순   공   사   원   가</t>
  </si>
  <si>
    <t>JUK1</t>
  </si>
  <si>
    <t>호표 2</t>
  </si>
  <si>
    <t>산근 4</t>
  </si>
  <si>
    <t>일반기계운전사</t>
  </si>
  <si>
    <t>15톤덤프트럭기준</t>
  </si>
  <si>
    <t>W10</t>
  </si>
  <si>
    <t>53</t>
  </si>
  <si>
    <t>( 호표 7 ) 와이어메시 바닥깔기 바닥, #6-100×100 M2</t>
  </si>
  <si>
    <t>내역,일위대가 품명,규격,단위 따로적용</t>
  </si>
  <si>
    <t>호표 51</t>
  </si>
  <si>
    <t xml:space="preserve"> 굴삭기(무한궤도) (0.7㎥/HR)    </t>
  </si>
  <si>
    <t>( 호표 20 ) 현장용접(CO2 반자동 용접) 각장 6mm 환산용접 길이 M</t>
  </si>
  <si>
    <t>총계</t>
  </si>
  <si>
    <t>경비 7</t>
  </si>
  <si>
    <t>앵커 볼트 설치</t>
  </si>
  <si>
    <t>경비 16</t>
  </si>
  <si>
    <t>.EQ = LA(10, 0, 20) * 0.02</t>
  </si>
  <si>
    <t>ZZB300100000</t>
  </si>
  <si>
    <t>1510150520282163</t>
  </si>
  <si>
    <t>시멘트</t>
  </si>
  <si>
    <t>JUK12</t>
  </si>
  <si>
    <t>8</t>
  </si>
  <si>
    <t>ZZF000100000</t>
  </si>
  <si>
    <t>자재</t>
  </si>
  <si>
    <t>호표 50</t>
  </si>
  <si>
    <t>PAGE</t>
  </si>
  <si>
    <t>L1   단지내운반거리(KM)  =0.5</t>
  </si>
  <si>
    <t>0108</t>
  </si>
  <si>
    <t>3121159920277088</t>
  </si>
  <si>
    <t>품목코드</t>
  </si>
  <si>
    <t>자재 15</t>
  </si>
  <si>
    <t>자재 32</t>
  </si>
  <si>
    <t>616</t>
  </si>
  <si>
    <t>'경  비:' ~00000201007000000.E~ / {Q} =?EQ+</t>
  </si>
  <si>
    <t>1/8*16/12*25/20*24/15</t>
  </si>
  <si>
    <t>노무비 단가 적용률</t>
  </si>
  <si>
    <t>와이어메시 바닥깔기</t>
  </si>
  <si>
    <t>국민  건강  보험료</t>
  </si>
  <si>
    <t>JUK19</t>
  </si>
  <si>
    <t>T</t>
  </si>
  <si>
    <t>재  료  비</t>
  </si>
  <si>
    <t>경비 3</t>
  </si>
  <si>
    <t>( 호표 31 ) 철근 현장조립 Type-Ⅰ, 소형구조물 TON</t>
  </si>
  <si>
    <t>노임 9</t>
  </si>
  <si>
    <t>0105  시설물공사</t>
  </si>
  <si>
    <t>건축 11-2-4</t>
  </si>
  <si>
    <t>기   타    경   비</t>
  </si>
  <si>
    <t>Cm '1회 싸이클시간(90˚sec)'=18</t>
  </si>
  <si>
    <t>초화류식재</t>
  </si>
  <si>
    <t>k    백호바켓계수  =1.1</t>
  </si>
  <si>
    <t>황토포장(현장설치도)</t>
  </si>
  <si>
    <t>B10</t>
  </si>
  <si>
    <t>( 호표 51 ) 유성페인트 붓칠 - 재료비 철재면, 2회 칠, 1급 M2</t>
  </si>
  <si>
    <t>간  접  재  료  비</t>
  </si>
  <si>
    <t>호표번호</t>
  </si>
  <si>
    <t>0.7 ㎥</t>
  </si>
  <si>
    <t>호표 27</t>
  </si>
  <si>
    <t>ADB000000100</t>
  </si>
  <si>
    <t>0000521000130000</t>
  </si>
  <si>
    <t>경비 6</t>
  </si>
  <si>
    <t>유통물가</t>
  </si>
  <si>
    <t>공통 6-2-2.6</t>
  </si>
  <si>
    <t>.EQ=TOT(10, 0, 30) * 1</t>
  </si>
  <si>
    <t>Cm '1회 싸이클시간(135˚SEC)'=20</t>
  </si>
  <si>
    <t>12.27</t>
  </si>
  <si>
    <t>AAB21500100S</t>
  </si>
  <si>
    <t>CDH101010400</t>
  </si>
  <si>
    <t>도      급      액</t>
  </si>
  <si>
    <t>L001010101000034</t>
  </si>
  <si>
    <t>ZZB700100000</t>
  </si>
  <si>
    <t>주재료비의 3%</t>
  </si>
  <si>
    <t xml:space="preserve"> 2.래머,80kg </t>
  </si>
  <si>
    <t>.EQ = TOT(10,0,30) * 1</t>
  </si>
  <si>
    <t>00000201001200000</t>
  </si>
  <si>
    <t>177</t>
  </si>
  <si>
    <t>0000020100400000</t>
  </si>
  <si>
    <t>노임계수</t>
  </si>
  <si>
    <t>6</t>
  </si>
  <si>
    <t>진동롤러 (핸드가이드식)</t>
  </si>
  <si>
    <t>호표 21</t>
  </si>
  <si>
    <t>레미콘</t>
  </si>
  <si>
    <t>t4  '적재대기(MIN)양호0.15,보통0.42,불량0.7 '=0.42</t>
  </si>
  <si>
    <t>.MA=MA(40) * 0.03</t>
  </si>
  <si>
    <t>배관공</t>
  </si>
  <si>
    <t>3115999620286057</t>
  </si>
  <si>
    <t>0.003</t>
  </si>
  <si>
    <t>AAD151101010</t>
  </si>
  <si>
    <t>합계의 100%</t>
  </si>
  <si>
    <t>4014218820108849</t>
  </si>
  <si>
    <t>노임 11</t>
  </si>
  <si>
    <t>일위</t>
  </si>
  <si>
    <t>ACA200100020</t>
  </si>
  <si>
    <t>L2   시내외포장(KM)  =9</t>
  </si>
  <si>
    <t>손료적용</t>
  </si>
  <si>
    <t>'노무비:' ~00001630008000000.L~ / {Q} =?LA+</t>
  </si>
  <si>
    <t>ADA40100040S</t>
  </si>
  <si>
    <t>호표 19</t>
  </si>
  <si>
    <t>ZZB000100000</t>
  </si>
  <si>
    <t>q1 '바켓용량(M3)'= 0.7</t>
  </si>
  <si>
    <t>1</t>
  </si>
  <si>
    <t>ITEMSEQNO</t>
  </si>
  <si>
    <t>CDF300130010</t>
  </si>
  <si>
    <t>00000610015000000</t>
  </si>
  <si>
    <t>C20</t>
  </si>
  <si>
    <t>대</t>
  </si>
  <si>
    <t>경비 2</t>
  </si>
  <si>
    <t>철근 현장조립</t>
  </si>
  <si>
    <t>공기압축기(이동식)</t>
  </si>
  <si>
    <t xml:space="preserve">E1 '터파기에 대하여 -0.05'=0.05 </t>
  </si>
  <si>
    <t>M2</t>
  </si>
  <si>
    <t>보통, 덤프 15톤+백호0.7(적재, 고르기 별도)</t>
  </si>
  <si>
    <t>모르타르 배합</t>
  </si>
  <si>
    <t>번  호</t>
  </si>
  <si>
    <t>경비로 적용</t>
  </si>
  <si>
    <t>466</t>
  </si>
  <si>
    <t>C  '다져진상태'=0.875</t>
  </si>
  <si>
    <t>T   '적재용량(톤)' =15</t>
  </si>
  <si>
    <t>재료비의 10%</t>
  </si>
  <si>
    <t>AZZ</t>
  </si>
  <si>
    <t>조경시설물(가압방부목)</t>
  </si>
  <si>
    <t>단위</t>
  </si>
  <si>
    <t>합      계</t>
  </si>
  <si>
    <t>소수점처리</t>
  </si>
  <si>
    <t>3011150521001750</t>
  </si>
  <si>
    <t>0103  토공사</t>
  </si>
  <si>
    <t>r1  '토석의 단위중량(톤)' =1.7</t>
  </si>
  <si>
    <t>3.6m 이하</t>
  </si>
  <si>
    <t>.MA=LA(10) * 0.04</t>
  </si>
  <si>
    <t>'경  비:' ~00000602015000000.E~ / {Q} =?EQ+</t>
  </si>
  <si>
    <t>'재료비:' ~00000201007000000.M~ / {Q} =?MA+</t>
  </si>
  <si>
    <t>미장벽돌</t>
  </si>
  <si>
    <t>철근콘크리트용봉강, HD16, SD350/400</t>
  </si>
  <si>
    <t xml:space="preserve">'굴삭기(무한궤도) (0.7㎥/HR)'   </t>
  </si>
  <si>
    <t>조사가격1</t>
  </si>
  <si>
    <t>( 호표 12 ) SET ANCHOR D10*L75mm 개</t>
  </si>
  <si>
    <t>노무비 할증 계수</t>
  </si>
  <si>
    <t>호표 47</t>
  </si>
  <si>
    <t>( 호표 18 ) 유로폼 설치 및 해체 간단, 수직고 7m까지 M2</t>
  </si>
  <si>
    <t>0102  철거공사</t>
  </si>
  <si>
    <t>'재료비:' ~00000602015000000.M~ / {Q} =?MA+</t>
  </si>
  <si>
    <t>3.5㎥/min</t>
  </si>
  <si>
    <t>(AZZ+BZZ)*%%</t>
  </si>
  <si>
    <t>노임 3</t>
  </si>
  <si>
    <t>무근구조물, 굴삭기(무한궤도), 0.7m3</t>
  </si>
  <si>
    <t>건축 11-2-7</t>
  </si>
  <si>
    <t>0.09</t>
  </si>
  <si>
    <t>건축 1-2-4</t>
  </si>
  <si>
    <t>기   계    경   비</t>
  </si>
  <si>
    <t>ZZB600100000</t>
  </si>
  <si>
    <t>시너, KSM6060, 1종</t>
  </si>
  <si>
    <t>V3   시내외포장적재운반속도(KM/HR)  =35</t>
  </si>
  <si>
    <t>ZZA000100000</t>
  </si>
  <si>
    <t>설정</t>
  </si>
  <si>
    <t>호표 35</t>
  </si>
  <si>
    <t>Cm  1회 싸이클시간(90˚sec) =18</t>
  </si>
  <si>
    <t>단  가</t>
  </si>
  <si>
    <t>'경  비:' ~00000610015000000.E~ / {Q} =?EQ+</t>
  </si>
  <si>
    <t>호표 4</t>
  </si>
  <si>
    <t>쇄석자갈</t>
  </si>
  <si>
    <t>A</t>
  </si>
  <si>
    <t>배합용적비 1:1, 시멘트, 모래 별도</t>
  </si>
  <si>
    <t>A10+A20-A30</t>
  </si>
  <si>
    <t>( 호표 24 ) 자재 소운반 15층 이하 기준 M2</t>
  </si>
  <si>
    <t>2.93</t>
  </si>
  <si>
    <t>.LA = LA(10, 0, 20) * 0.5</t>
  </si>
  <si>
    <t>JUK10</t>
  </si>
  <si>
    <t>개</t>
  </si>
  <si>
    <t>콘크리트공</t>
  </si>
  <si>
    <t>( 호표 50 ) 유성페인트 붓칠 철재면, 2회 M2</t>
  </si>
  <si>
    <t>공구손료 및 잡재료</t>
  </si>
  <si>
    <t>컨테이너하우스, 사무실용, 3.0×3.0×2.6m</t>
  </si>
  <si>
    <t>CV0</t>
  </si>
  <si>
    <t>조경용수목</t>
  </si>
  <si>
    <t>내역단가 소수점처리</t>
  </si>
  <si>
    <t>0110</t>
  </si>
  <si>
    <t>경비 4</t>
  </si>
  <si>
    <t>호표 38</t>
  </si>
  <si>
    <t>PPS00000002</t>
  </si>
  <si>
    <t>공사구분</t>
  </si>
  <si>
    <t>재 료 비</t>
  </si>
  <si>
    <t xml:space="preserve"> ○------------------0------------0----------------○10KM </t>
  </si>
  <si>
    <t>호표 34</t>
  </si>
  <si>
    <t>CB0</t>
  </si>
  <si>
    <t>R</t>
  </si>
  <si>
    <t>0.2㎥</t>
  </si>
  <si>
    <t>품목구분</t>
  </si>
  <si>
    <t>공업용휘발유</t>
  </si>
  <si>
    <t>10M2</t>
  </si>
  <si>
    <t>자재 14</t>
  </si>
  <si>
    <t>XXXXXXXXXXXXXXXXX</t>
  </si>
  <si>
    <t>자재 6</t>
  </si>
  <si>
    <t>'차량속도 : 30KM/V1,35KM/V2,35KM/V3,35KM/V4,30KM/V5,35KM/V6'</t>
  </si>
  <si>
    <t>줄눈공</t>
  </si>
  <si>
    <t>AGA10001040S</t>
  </si>
  <si>
    <t>품      목</t>
  </si>
  <si>
    <t>노임 5</t>
  </si>
  <si>
    <t>총   공   사    비</t>
  </si>
  <si>
    <t>공   급    가   액</t>
  </si>
  <si>
    <t>20120321</t>
  </si>
  <si>
    <t>( 호표 32 ) 유로폼 - 자재비 간단 M2</t>
  </si>
  <si>
    <t>이형봉강(SD350/400), HD10, 지정장소도, 0.56kg/m</t>
  </si>
  <si>
    <t>자재 31</t>
  </si>
  <si>
    <t>APC260300000</t>
  </si>
  <si>
    <t>ANM020002010</t>
  </si>
  <si>
    <t>( 호표 36 ) 굴삭기(무한궤도) 0.2㎥ HR</t>
  </si>
  <si>
    <t>자재 8</t>
  </si>
  <si>
    <t>3011180110063881</t>
  </si>
  <si>
    <t>L001010101000012</t>
  </si>
  <si>
    <t>( 호표 6 ) 레디믹스트콘크리트 타설(장비사용 타설) 무근구조물, 굴삭기(무한궤도), 0.7m3 M3</t>
  </si>
  <si>
    <t>ø20 이하</t>
  </si>
  <si>
    <t>AFR620300000</t>
  </si>
  <si>
    <t>3116160121870820</t>
  </si>
  <si>
    <t>호표 8</t>
  </si>
  <si>
    <t>노무비 * 1.01%</t>
  </si>
  <si>
    <t>JUK13</t>
  </si>
  <si>
    <t>t3  '적하시간(MIN)양호0.5,보통0.8,불량1.1'=0.8</t>
  </si>
  <si>
    <t>.EQ=LA(10, 20) * 0.09</t>
  </si>
  <si>
    <t>노임할증</t>
  </si>
  <si>
    <t>0000163000800000</t>
  </si>
  <si>
    <t>적용단가</t>
  </si>
  <si>
    <t>직접노무비*11.6%</t>
  </si>
  <si>
    <t>호표 18</t>
  </si>
  <si>
    <t>보통, 유압식백호 0.4m3</t>
  </si>
  <si>
    <t>자재 소운반</t>
  </si>
  <si>
    <t>V2  '단지내공차운반속도(KM/HR)' =20</t>
  </si>
  <si>
    <t>1.3㎥/min</t>
  </si>
  <si>
    <t>환율</t>
  </si>
  <si>
    <t>자재 21</t>
  </si>
  <si>
    <t>AJD000000030</t>
  </si>
  <si>
    <t>3.0×3.0×2.6m, 3개월</t>
  </si>
  <si>
    <t>P   중복 다짐회수(회)  =57</t>
  </si>
  <si>
    <t>AEB00000020S</t>
  </si>
  <si>
    <t>톤</t>
  </si>
  <si>
    <t>YZC001000000</t>
  </si>
  <si>
    <t>CE0</t>
  </si>
  <si>
    <t>q1  바켓용량(M3) = 0.4</t>
  </si>
  <si>
    <t>금      액</t>
  </si>
  <si>
    <t>0000020100200000</t>
  </si>
  <si>
    <t>내역금액소수점처리</t>
  </si>
  <si>
    <t>자재 10</t>
  </si>
  <si>
    <t>t4   적재대기(MIN)양호0.15,보통0.42,불량0.7  =0.42</t>
  </si>
  <si>
    <t>M</t>
  </si>
  <si>
    <t>Q10</t>
  </si>
  <si>
    <t>T    적재용량(톤)  =15</t>
  </si>
  <si>
    <t>0000060201500000</t>
  </si>
  <si>
    <t>6.7</t>
  </si>
  <si>
    <t xml:space="preserve"> [ 소   계 ] </t>
  </si>
  <si>
    <t>미확인 데이터</t>
  </si>
  <si>
    <t>합    계</t>
  </si>
  <si>
    <t>공구손료</t>
  </si>
  <si>
    <t>L3  '사토장비포장(KM)' =0.5</t>
  </si>
  <si>
    <t>E   작업효율사질토(양호0.85,보통0.70,불량0.55) = 0.7-E1= 0.65</t>
  </si>
  <si>
    <t>원가비목코드</t>
  </si>
  <si>
    <t>L   '토량 변화율' =1.25</t>
  </si>
  <si>
    <t>PVC관, Ø100</t>
  </si>
  <si>
    <t>3010161920164100</t>
  </si>
  <si>
    <t>철근콘크리트용봉강[자재]</t>
  </si>
  <si>
    <t>단산</t>
  </si>
  <si>
    <t>3121159722073048</t>
  </si>
  <si>
    <t>모래</t>
  </si>
  <si>
    <t>비    고</t>
  </si>
  <si>
    <t>15톤덤프, 30KM (중간처리대상)</t>
  </si>
  <si>
    <t>10ton</t>
  </si>
  <si>
    <t>크레인(타이어)</t>
  </si>
  <si>
    <t>호표 46</t>
  </si>
  <si>
    <t>C</t>
  </si>
  <si>
    <t>P20</t>
  </si>
  <si>
    <t>콘테이너형 가설건축물 설치</t>
  </si>
  <si>
    <t>호표 6</t>
  </si>
  <si>
    <t>kg</t>
  </si>
  <si>
    <t>소형브레이커(공압식)</t>
  </si>
  <si>
    <t xml:space="preserve"> 2.덤프트럭 자동덮개시설 (15톤용/HR) </t>
  </si>
  <si>
    <t>단 가 대 비 표</t>
  </si>
  <si>
    <t>YZS001000000</t>
  </si>
  <si>
    <t>확정내역</t>
  </si>
  <si>
    <t>호표 15</t>
  </si>
  <si>
    <t>노임 12</t>
  </si>
  <si>
    <t>철재면, 2회</t>
  </si>
  <si>
    <t>AFA310091100</t>
  </si>
  <si>
    <t>실내건축 가설-12</t>
  </si>
  <si>
    <t>경비 11</t>
  </si>
  <si>
    <t>공통 6-3-3.3</t>
  </si>
  <si>
    <t>0102</t>
  </si>
  <si>
    <t>코  드</t>
  </si>
  <si>
    <t>96</t>
  </si>
  <si>
    <t>보통인부</t>
  </si>
  <si>
    <t>1800*1800 기준</t>
  </si>
  <si>
    <t>자재 1</t>
  </si>
  <si>
    <t>이              윤</t>
  </si>
  <si>
    <t>00005205003500000</t>
  </si>
  <si>
    <t>( 호표 19 ) 앵커 볼트 설치 ø20 이하 개</t>
  </si>
  <si>
    <t>설계자</t>
  </si>
  <si>
    <t>자재 33</t>
  </si>
  <si>
    <t>00002104001000000</t>
  </si>
  <si>
    <t>보통, 유압식백호 0.7m3</t>
  </si>
  <si>
    <t>q1  바켓용량(M3) = 0.7</t>
  </si>
  <si>
    <t>CA0</t>
  </si>
  <si>
    <t>공통 4-5-9</t>
  </si>
  <si>
    <t>호표 44</t>
  </si>
  <si>
    <t>CB0*%%</t>
  </si>
  <si>
    <t>0.1</t>
  </si>
  <si>
    <t>k   '백호바켓계수' =1.1</t>
  </si>
  <si>
    <t>기계 1-5-1</t>
  </si>
  <si>
    <t>터파기(문화재구역내, 기계장비)</t>
  </si>
  <si>
    <t>자재구분</t>
  </si>
  <si>
    <t>공 종 별 집 계 표</t>
  </si>
  <si>
    <t>0.064</t>
  </si>
  <si>
    <t>V2   단지내공차운반속도(KM/HR)  =20</t>
  </si>
  <si>
    <t xml:space="preserve"> 차량속도 : 30KM/V1,35KM/V2,35KM/V3,35KM/V4,30KM/V5,35KM/V6 </t>
  </si>
  <si>
    <t>AAD150100800</t>
  </si>
  <si>
    <t>공업용휘발유, 무연</t>
  </si>
  <si>
    <t>건설기계운전사</t>
  </si>
  <si>
    <t>E    작업효율  =0.9</t>
  </si>
  <si>
    <t>소켓접합 및 배관</t>
  </si>
  <si>
    <t>별도</t>
  </si>
  <si>
    <t>자재 9</t>
  </si>
  <si>
    <t>비        목</t>
  </si>
  <si>
    <t>(BZZ+CZZ+E10)*%%</t>
  </si>
  <si>
    <t>0</t>
  </si>
  <si>
    <t>장비, 백호0.2m3+진동롤러(핸드가이드식)</t>
  </si>
  <si>
    <t>'노무비:' ~00000201007000000.L~ / {Q} =?LA+</t>
  </si>
  <si>
    <t>앵커볼트, M19×900mm</t>
  </si>
  <si>
    <t>컨테이너형 가설건축물 - 사무실</t>
  </si>
  <si>
    <t>CDE100210700  터파기/토사  보통, 유압식백호 0.7m3  M3  ( 산근 2 )</t>
  </si>
  <si>
    <t>금  액</t>
  </si>
  <si>
    <t>공사기간 1개월이상 건설공사</t>
  </si>
  <si>
    <t>산  재  보  험  료</t>
  </si>
  <si>
    <t>건설폐기물 운반비 - 중량기준</t>
  </si>
  <si>
    <t>q1  '1회 적재량(M3)' =T/r1*L=?</t>
  </si>
  <si>
    <t>E10</t>
  </si>
  <si>
    <t>B</t>
  </si>
  <si>
    <t>'재료비:' ~00001630008000000.M~ / {Q} =?MA+</t>
  </si>
  <si>
    <t>5억미만, 일반건설공사(갑)</t>
  </si>
  <si>
    <t>공통 8-3(0610)</t>
  </si>
  <si>
    <t>L1 '흐트러진상태' =1.25</t>
  </si>
  <si>
    <t>AQA34000010S</t>
  </si>
  <si>
    <t>JUK3</t>
  </si>
  <si>
    <t>호표 25</t>
  </si>
  <si>
    <t>호표 41</t>
  </si>
  <si>
    <t>(노무비+경비+일반관리비) * 15%</t>
  </si>
  <si>
    <t>( 호표 49 ) 모르타르 배합(배합품 포함) 배합용적비 1:3, 시멘트, 모래 별도 M3</t>
  </si>
  <si>
    <t>2327181322305638</t>
  </si>
  <si>
    <t>자재 25</t>
  </si>
  <si>
    <t>103</t>
  </si>
  <si>
    <t>자재 12</t>
  </si>
  <si>
    <t>공통 8-3(5210)</t>
  </si>
  <si>
    <t>TON</t>
  </si>
  <si>
    <t>4.5</t>
  </si>
  <si>
    <t>Cm  '1회 싸이클 시간(MIN)' =Cms*n/(60*Es)+t2+t3+t4+t5+t6=?</t>
  </si>
  <si>
    <t>L001010101000003</t>
  </si>
  <si>
    <t>건축 4-3-3</t>
  </si>
  <si>
    <t>.MA = MA(10) * 0.03</t>
  </si>
  <si>
    <t xml:space="preserve"> 운반거리 : 단지대L1=0.5KM,시내외L2=9.0KM,사토장L3=0.5KM </t>
  </si>
  <si>
    <t>ACA300100020</t>
  </si>
  <si>
    <t>( 호표 8 ) 자갈깔기지정 장비, 백호0.2m3+진동롤러(핸드가이드식) M3</t>
  </si>
  <si>
    <t>'2.덤프트럭 자동덮개시설 (15톤용/HR)'</t>
  </si>
  <si>
    <t>울타리, 주재료비 별도</t>
    <phoneticPr fontId="12" type="noConversion"/>
  </si>
  <si>
    <t xml:space="preserve"> 울타리, 주재료비 별도</t>
    <phoneticPr fontId="12" type="noConversion"/>
  </si>
  <si>
    <t>경간</t>
    <phoneticPr fontId="12" type="noConversion"/>
  </si>
  <si>
    <t>3015200120158330</t>
  </si>
  <si>
    <t>식</t>
    <phoneticPr fontId="12" type="noConversion"/>
  </si>
  <si>
    <t>호출벨,양변기등받이,자동물내림,
경사거울점자판, 점자블럭</t>
    <phoneticPr fontId="12" type="noConversion"/>
  </si>
  <si>
    <t>호출벨,양변기등받이,자동물내림,
경사거울, 점자판, 점자블럭</t>
    <phoneticPr fontId="12" type="noConversion"/>
  </si>
  <si>
    <t>벽걸이형</t>
    <phoneticPr fontId="12" type="noConversion"/>
  </si>
  <si>
    <t>개</t>
    <phoneticPr fontId="12" type="noConversion"/>
  </si>
  <si>
    <t>폴리카보네이트 캐노피</t>
    <phoneticPr fontId="12" type="noConversion"/>
  </si>
  <si>
    <t>차양 비가림 1000X1220mm</t>
    <phoneticPr fontId="12" type="noConversion"/>
  </si>
  <si>
    <t>개소</t>
    <phoneticPr fontId="12" type="noConversion"/>
  </si>
  <si>
    <t>차양,비가림 1000x1220mm</t>
    <phoneticPr fontId="12" type="noConversion"/>
  </si>
  <si>
    <t>W2000XH2000mm</t>
    <phoneticPr fontId="12" type="noConversion"/>
  </si>
  <si>
    <t>YL형 울타리</t>
    <phoneticPr fontId="12" type="noConversion"/>
  </si>
  <si>
    <t>등의자</t>
    <phoneticPr fontId="12" type="noConversion"/>
  </si>
  <si>
    <t>옥외용, 1600x540x750</t>
    <phoneticPr fontId="12" type="noConversion"/>
  </si>
  <si>
    <t>이동식화장실</t>
    <phoneticPr fontId="12" type="noConversion"/>
  </si>
  <si>
    <t>NPR-600BF, 9000×3400×3200mm</t>
    <phoneticPr fontId="12" type="noConversion"/>
  </si>
  <si>
    <t>BTS-90, 10000×3000×3150mm</t>
    <phoneticPr fontId="12" type="noConversion"/>
  </si>
  <si>
    <t>이동식사무실</t>
    <phoneticPr fontId="12" type="noConversion"/>
  </si>
  <si>
    <t>휴게 데크 설치</t>
    <phoneticPr fontId="12" type="noConversion"/>
  </si>
  <si>
    <t>목제데크(이페), 4500x4500mm</t>
    <phoneticPr fontId="12" type="noConversion"/>
  </si>
  <si>
    <t>휴게데크설치</t>
    <phoneticPr fontId="12" type="noConversion"/>
  </si>
  <si>
    <t>공사안내판</t>
    <phoneticPr fontId="12" type="noConversion"/>
  </si>
  <si>
    <t>600*900</t>
    <phoneticPr fontId="12" type="noConversion"/>
  </si>
  <si>
    <t>EA</t>
    <phoneticPr fontId="12" type="noConversion"/>
  </si>
  <si>
    <t>RAB21010009S</t>
  </si>
  <si>
    <t>600x900</t>
    <phoneticPr fontId="12" type="noConversion"/>
  </si>
  <si>
    <t>0103  토공사 및 무근콘크리트공사</t>
    <phoneticPr fontId="12" type="noConversion"/>
  </si>
  <si>
    <t>RBA23010050S</t>
  </si>
  <si>
    <t>( 호표 54 ) 황토포장해체 마사토 100mm, 잡석다짐 150mm 내외 기준 M3</t>
    <phoneticPr fontId="12" type="noConversion"/>
  </si>
  <si>
    <t>마사토 100mm, 잡석다짐 150mm 내외 기준</t>
  </si>
  <si>
    <t>문화재 3-14-3</t>
  </si>
  <si>
    <t>황토포장해체</t>
    <phoneticPr fontId="12" type="noConversion"/>
  </si>
  <si>
    <t>호표 54</t>
    <phoneticPr fontId="12" type="noConversion"/>
  </si>
  <si>
    <t>마사토 100mm, 잡석다짐 150mm 내외 기준</t>
    <phoneticPr fontId="12" type="noConversion"/>
  </si>
  <si>
    <t>잡석</t>
  </si>
  <si>
    <t>잡석, 별도</t>
  </si>
  <si>
    <t>㎥</t>
  </si>
  <si>
    <t>60</t>
    <phoneticPr fontId="12" type="noConversion"/>
  </si>
  <si>
    <t>잡석</t>
    <phoneticPr fontId="12" type="noConversion"/>
  </si>
  <si>
    <t>ACA300100019</t>
  </si>
  <si>
    <t>잡석다짐</t>
    <phoneticPr fontId="12" type="noConversion"/>
  </si>
  <si>
    <t>( 호표 5 ) 잡석다짐 장비, 백호0.2m3+진동롤러(핸드가이드식) M3</t>
    <phoneticPr fontId="12" type="noConversion"/>
  </si>
  <si>
    <t>경기(구리, 남양주), 25-18-120</t>
    <phoneticPr fontId="12" type="noConversion"/>
  </si>
  <si>
    <t>경기(구리, 남양주), 28-18-120</t>
    <phoneticPr fontId="12" type="noConversion"/>
  </si>
  <si>
    <t>경기(구리, 남양주), 25-18-150</t>
    <phoneticPr fontId="12" type="noConversion"/>
  </si>
  <si>
    <t>자재 35</t>
    <phoneticPr fontId="12" type="noConversion"/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</si>
  <si>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</si>
  <si>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</si>
  <si>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</si>
  <si>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</si>
  <si>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</si>
  <si>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</si>
  <si>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</si>
  <si>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40</t>
    <phoneticPr fontId="12" type="noConversion"/>
  </si>
  <si>
    <t>자재 36</t>
    <phoneticPr fontId="12" type="noConversion"/>
  </si>
  <si>
    <t>자재 39</t>
    <phoneticPr fontId="12" type="noConversion"/>
  </si>
  <si>
    <t>자재 38</t>
    <phoneticPr fontId="12" type="noConversion"/>
  </si>
  <si>
    <t>YL형휀스</t>
    <phoneticPr fontId="12" type="noConversion"/>
  </si>
  <si>
    <t>축소도면작성</t>
    <phoneticPr fontId="12" type="noConversion"/>
  </si>
  <si>
    <t>A4</t>
    <phoneticPr fontId="12" type="noConversion"/>
  </si>
  <si>
    <t>매</t>
    <phoneticPr fontId="12" type="noConversion"/>
  </si>
  <si>
    <t>원고작성</t>
    <phoneticPr fontId="12" type="noConversion"/>
  </si>
  <si>
    <t>사진촬영 및 정리</t>
    <phoneticPr fontId="12" type="noConversion"/>
  </si>
  <si>
    <t>교정 및 편집</t>
    <phoneticPr fontId="12" type="noConversion"/>
  </si>
  <si>
    <t>출력 및 제본</t>
    <phoneticPr fontId="12" type="noConversion"/>
  </si>
  <si>
    <t>권</t>
    <phoneticPr fontId="12" type="noConversion"/>
  </si>
  <si>
    <t>경비 16</t>
    <phoneticPr fontId="12" type="noConversion"/>
  </si>
  <si>
    <t>경비 17</t>
  </si>
  <si>
    <t>경비 18</t>
  </si>
  <si>
    <t>경비 19</t>
  </si>
  <si>
    <t>경비 20</t>
  </si>
  <si>
    <r>
      <t xml:space="preserve">유공관 </t>
    </r>
    <r>
      <rPr>
        <sz val="11"/>
        <color theme="1"/>
        <rFont val="맑은 고딕"/>
        <family val="3"/>
        <charset val="129"/>
      </rPr>
      <t>Ø</t>
    </r>
    <r>
      <rPr>
        <sz val="11"/>
        <color theme="1"/>
        <rFont val="맑은 고딕"/>
        <family val="3"/>
      </rPr>
      <t>100</t>
    </r>
    <phoneticPr fontId="12" type="noConversion"/>
  </si>
  <si>
    <t>유공관</t>
    <phoneticPr fontId="12" type="noConversion"/>
  </si>
  <si>
    <r>
      <rPr>
        <sz val="11"/>
        <color theme="1"/>
        <rFont val="맑은 고딕"/>
        <family val="3"/>
        <charset val="129"/>
      </rPr>
      <t>Ø</t>
    </r>
    <r>
      <rPr>
        <sz val="11"/>
        <color theme="1"/>
        <rFont val="맑은 고딕"/>
        <family val="3"/>
      </rPr>
      <t>100</t>
    </r>
    <phoneticPr fontId="12" type="noConversion"/>
  </si>
  <si>
    <t>810</t>
    <phoneticPr fontId="12" type="noConversion"/>
  </si>
  <si>
    <t>112</t>
    <phoneticPr fontId="12" type="noConversion"/>
  </si>
  <si>
    <r>
      <t>( 호표 9 ) 우수관설치 유공관,</t>
    </r>
    <r>
      <rPr>
        <sz val="11"/>
        <color theme="1"/>
        <rFont val="맑은 고딕"/>
        <family val="3"/>
        <charset val="129"/>
      </rPr>
      <t>Ø</t>
    </r>
    <r>
      <rPr>
        <sz val="11"/>
        <color theme="1"/>
        <rFont val="돋움체"/>
        <family val="3"/>
      </rPr>
      <t>100 m</t>
    </r>
    <phoneticPr fontId="12" type="noConversion"/>
  </si>
  <si>
    <t>화스너, 세트앵커</t>
    <phoneticPr fontId="12" type="noConversion"/>
  </si>
  <si>
    <t>화스터 세트앵커, M10×L75mm</t>
    <phoneticPr fontId="12" type="noConversion"/>
  </si>
  <si>
    <t>SET</t>
    <phoneticPr fontId="12" type="noConversion"/>
  </si>
  <si>
    <t>화스너,세트앵커</t>
    <phoneticPr fontId="12" type="noConversion"/>
  </si>
  <si>
    <t>화스너,세트앵커, M10×L75mm</t>
    <phoneticPr fontId="12" type="noConversion"/>
  </si>
  <si>
    <t>화스너 SET ANCHOR</t>
    <phoneticPr fontId="12" type="noConversion"/>
  </si>
  <si>
    <t>화스너,셋앙카D10*L75mm</t>
    <phoneticPr fontId="12" type="noConversion"/>
  </si>
  <si>
    <t>화스너, 셋앙카, D10*L75mm</t>
    <phoneticPr fontId="12" type="noConversion"/>
  </si>
  <si>
    <t>0105  시설물공사</t>
    <phoneticPr fontId="12" type="noConversion"/>
  </si>
  <si>
    <t>M2</t>
    <phoneticPr fontId="12" type="noConversion"/>
  </si>
  <si>
    <t>( 호표 14 ) 제초 풀깍기 모으기</t>
    <phoneticPr fontId="12" type="noConversion"/>
  </si>
  <si>
    <t>풀깍기, 모으기</t>
    <phoneticPr fontId="12" type="noConversion"/>
  </si>
  <si>
    <t>면고르기</t>
    <phoneticPr fontId="12" type="noConversion"/>
  </si>
  <si>
    <t>( 호표 55 ) 면고르기  M2 공통 3-3-1</t>
    <phoneticPr fontId="12" type="noConversion"/>
  </si>
  <si>
    <t>미송원형가공목재</t>
    <phoneticPr fontId="12" type="noConversion"/>
  </si>
  <si>
    <t>153</t>
    <phoneticPr fontId="12" type="noConversion"/>
  </si>
  <si>
    <t>로프휀스</t>
    <phoneticPr fontId="12" type="noConversion"/>
  </si>
  <si>
    <t>W2000XH600</t>
    <phoneticPr fontId="12" type="noConversion"/>
  </si>
  <si>
    <t>W2000xH600</t>
    <phoneticPr fontId="12" type="noConversion"/>
  </si>
  <si>
    <t>공통 3-3-1</t>
    <phoneticPr fontId="12" type="noConversion"/>
  </si>
  <si>
    <t>수리보고서</t>
    <phoneticPr fontId="12" type="noConversion"/>
  </si>
  <si>
    <t>폐기물처리비</t>
    <phoneticPr fontId="12" type="noConversion"/>
  </si>
  <si>
    <t>합산제외</t>
    <phoneticPr fontId="12" type="noConversion"/>
  </si>
  <si>
    <t>문화재수리 적용제외</t>
    <phoneticPr fontId="12" type="noConversion"/>
  </si>
  <si>
    <t>조달 수수료</t>
    <phoneticPr fontId="12" type="noConversion"/>
  </si>
  <si>
    <t>주재료비의 0.54%</t>
    <phoneticPr fontId="12" type="noConversion"/>
  </si>
  <si>
    <t>( 호표 10 ) W2000 X H600 경간</t>
    <phoneticPr fontId="12" type="noConversion"/>
  </si>
  <si>
    <t>건설폐재류</t>
    <phoneticPr fontId="12" type="noConversion"/>
  </si>
  <si>
    <t>가연성이제거된 재활용이 가능한혼합물</t>
    <phoneticPr fontId="12" type="noConversion"/>
  </si>
  <si>
    <t>건설페재류</t>
    <phoneticPr fontId="12" type="noConversion"/>
  </si>
  <si>
    <t>가연성이 제거된 재활용이 가능한 혼합물</t>
    <phoneticPr fontId="12" type="noConversion"/>
  </si>
  <si>
    <t>3600×200×200mm이상</t>
    <phoneticPr fontId="12" type="noConversion"/>
  </si>
  <si>
    <t>M3</t>
    <phoneticPr fontId="12" type="noConversion"/>
  </si>
  <si>
    <t>자재 10</t>
    <phoneticPr fontId="12" type="noConversion"/>
  </si>
  <si>
    <t>ACQ 가압식 방부처리비</t>
    <phoneticPr fontId="12" type="noConversion"/>
  </si>
  <si>
    <t>155</t>
    <phoneticPr fontId="12" type="noConversion"/>
  </si>
  <si>
    <t>자재 26</t>
    <phoneticPr fontId="12" type="noConversion"/>
  </si>
  <si>
    <t>마닐라로프</t>
    <phoneticPr fontId="12" type="noConversion"/>
  </si>
  <si>
    <t>20mm</t>
    <phoneticPr fontId="12" type="noConversion"/>
  </si>
  <si>
    <t>M</t>
    <phoneticPr fontId="12" type="noConversion"/>
  </si>
  <si>
    <t>176</t>
    <phoneticPr fontId="12" type="noConversion"/>
  </si>
  <si>
    <t>자재 27</t>
    <phoneticPr fontId="12" type="noConversion"/>
  </si>
  <si>
    <t>목재가공조립</t>
    <phoneticPr fontId="12" type="noConversion"/>
  </si>
  <si>
    <t>보통구조(하) 설치간단</t>
    <phoneticPr fontId="12" type="noConversion"/>
  </si>
  <si>
    <t>조경적산 표5.1-99</t>
    <phoneticPr fontId="12" type="noConversion"/>
  </si>
  <si>
    <t>( 호표 52 ) 목재가공조립 보통구조(하) 설치간단 M3 조경적산 표5.1-99</t>
    <phoneticPr fontId="12" type="noConversion"/>
  </si>
  <si>
    <t>건축목공</t>
    <phoneticPr fontId="12" type="noConversion"/>
  </si>
  <si>
    <t>노임 11</t>
    <phoneticPr fontId="12" type="noConversion"/>
  </si>
  <si>
    <t>잡재료</t>
    <phoneticPr fontId="12" type="noConversion"/>
  </si>
  <si>
    <t>( 호표 53 ) 소켓접합 및 배관 PVC관, Ø100 m</t>
    <phoneticPr fontId="12" type="noConversion"/>
  </si>
  <si>
    <t>0000210500050000</t>
  </si>
  <si>
    <t>트럭탑재형 크레인</t>
  </si>
  <si>
    <t>5 ton</t>
  </si>
  <si>
    <t>( 호표 43 ) 트럭탑재형 크레인 5ton HR</t>
  </si>
  <si>
    <t>00002105000500000</t>
  </si>
  <si>
    <t>화물차운전사</t>
  </si>
  <si>
    <t>L001010101000049</t>
  </si>
  <si>
    <t>재료비의 20%</t>
  </si>
  <si>
    <t>.MA=MA(30) * 0.2</t>
  </si>
  <si>
    <t>노임 18</t>
  </si>
  <si>
    <t>노임 18</t>
    <phoneticPr fontId="12" type="noConversion"/>
  </si>
  <si>
    <t>트럭탑재형 크레인</t>
    <phoneticPr fontId="12" type="noConversion"/>
  </si>
  <si>
    <t>5ton</t>
  </si>
  <si>
    <t>5ton</t>
    <phoneticPr fontId="12" type="noConversion"/>
  </si>
  <si>
    <t>AAA282300100</t>
  </si>
  <si>
    <t>0.01</t>
  </si>
  <si>
    <t>0.02</t>
  </si>
  <si>
    <t>( 호표 22 )대문 설치 및 해체  M</t>
    <phoneticPr fontId="12" type="noConversion"/>
  </si>
  <si>
    <t>대문 설치 및 해체</t>
    <phoneticPr fontId="12" type="noConversion"/>
  </si>
  <si>
    <t>공통 2-8-23</t>
  </si>
  <si>
    <t>물품식별번호
24043036</t>
    <phoneticPr fontId="12" type="noConversion"/>
  </si>
  <si>
    <t>물품식별번호
24493970</t>
    <phoneticPr fontId="12" type="noConversion"/>
  </si>
  <si>
    <t>물품식별번호
23818558</t>
    <phoneticPr fontId="12" type="noConversion"/>
  </si>
  <si>
    <t>물품식별번호
24174405</t>
    <phoneticPr fontId="12" type="noConversion"/>
  </si>
  <si>
    <t>물품식별번호
24299287</t>
    <phoneticPr fontId="12" type="noConversion"/>
  </si>
  <si>
    <t>보통인부</t>
    <phoneticPr fontId="12" type="noConversion"/>
  </si>
  <si>
    <t>일반공사 직종</t>
    <phoneticPr fontId="12" type="noConversion"/>
  </si>
  <si>
    <t>인</t>
    <phoneticPr fontId="12" type="noConversion"/>
  </si>
  <si>
    <t>노임 1</t>
    <phoneticPr fontId="12" type="noConversion"/>
  </si>
  <si>
    <t>대문해체 및 설치 - 크레인(타이어) 5ton</t>
    <phoneticPr fontId="12" type="noConversion"/>
  </si>
  <si>
    <t xml:space="preserve">일반자재운반(8TON) </t>
    <phoneticPr fontId="12" type="noConversion"/>
  </si>
  <si>
    <t xml:space="preserve"> L=20.0KM </t>
  </si>
  <si>
    <t>차</t>
  </si>
  <si>
    <t>2210170300011000</t>
  </si>
  <si>
    <t xml:space="preserve">도급액                                                             :       \ </t>
    <phoneticPr fontId="12" type="noConversion"/>
  </si>
  <si>
    <t xml:space="preserve"> 관급자설치 관급자재                                           :       \ </t>
    <phoneticPr fontId="12" type="noConversion"/>
  </si>
  <si>
    <t>흥원(주변지역) 정비 및 관리공사</t>
    <phoneticPr fontId="12" type="noConversion"/>
  </si>
  <si>
    <t xml:space="preserve">  개 요 : 흥원(주변지역) 정비 및 관리공사</t>
    <phoneticPr fontId="12" type="noConversion"/>
  </si>
  <si>
    <t>2022년</t>
    <phoneticPr fontId="12" type="noConversion"/>
  </si>
  <si>
    <t>2022년 09월 설계</t>
    <phoneticPr fontId="12" type="noConversion"/>
  </si>
  <si>
    <t>[ 흥원(주변지역) 정비 및 관리공사 ]</t>
    <phoneticPr fontId="12" type="noConversion"/>
  </si>
  <si>
    <t>[ 흥원(주변지역) 정비 및 관리공사 ]</t>
    <phoneticPr fontId="12" type="noConversion"/>
  </si>
  <si>
    <t>테이블형 벤치</t>
    <phoneticPr fontId="12" type="noConversion"/>
  </si>
  <si>
    <t>1800X1600X750</t>
    <phoneticPr fontId="12" type="noConversion"/>
  </si>
  <si>
    <t>야외테이블형 벤치</t>
    <phoneticPr fontId="12" type="noConversion"/>
  </si>
  <si>
    <t>자재43</t>
    <phoneticPr fontId="12" type="noConversion"/>
  </si>
  <si>
    <t xml:space="preserve">잡석운반(15TON) </t>
    <phoneticPr fontId="12" type="noConversion"/>
  </si>
  <si>
    <t xml:space="preserve"> L=30.0KM </t>
  </si>
  <si>
    <t>자갈운반(15TON)</t>
    <phoneticPr fontId="12" type="noConversion"/>
  </si>
  <si>
    <t>AJM101100000</t>
  </si>
  <si>
    <t>건축 8-3-1</t>
  </si>
  <si>
    <t>AJM101101000</t>
  </si>
  <si>
    <t>용접봉(연강용)</t>
  </si>
  <si>
    <t>3.2(KSE4301)</t>
  </si>
  <si>
    <t>2327181220080580</t>
  </si>
  <si>
    <t>산소가스</t>
  </si>
  <si>
    <t>1214190420204084</t>
  </si>
  <si>
    <t>아세틸렌가스</t>
  </si>
  <si>
    <t>아세틸렌가스, kg</t>
  </si>
  <si>
    <t>1511150620204095</t>
  </si>
  <si>
    <t>용접기(교류)</t>
  </si>
  <si>
    <t>500Amp</t>
  </si>
  <si>
    <t>00007611050000000</t>
  </si>
  <si>
    <t>일반경비</t>
  </si>
  <si>
    <t>전력</t>
  </si>
  <si>
    <t>kWh</t>
  </si>
  <si>
    <t>E001010102000014</t>
  </si>
  <si>
    <t>철판공</t>
  </si>
  <si>
    <t>L001010101000010</t>
  </si>
  <si>
    <t>.EQ=LA(60,0,90) * 0.03</t>
  </si>
  <si>
    <t>1326</t>
  </si>
  <si>
    <t>1132</t>
  </si>
  <si>
    <t>1190</t>
  </si>
  <si>
    <t>베이스플레이트 강판 가공</t>
    <phoneticPr fontId="12" type="noConversion"/>
  </si>
  <si>
    <t>베이스플레이트 강판 설치</t>
    <phoneticPr fontId="12" type="noConversion"/>
  </si>
  <si>
    <t>간단, T12</t>
    <phoneticPr fontId="12" type="noConversion"/>
  </si>
  <si>
    <t>노임 7</t>
    <phoneticPr fontId="12" type="noConversion"/>
  </si>
  <si>
    <t>경비 21</t>
    <phoneticPr fontId="12" type="noConversion"/>
  </si>
  <si>
    <t>자재 44</t>
    <phoneticPr fontId="12" type="noConversion"/>
  </si>
  <si>
    <t>자재 45</t>
    <phoneticPr fontId="12" type="noConversion"/>
  </si>
  <si>
    <t>자재 46</t>
    <phoneticPr fontId="12" type="noConversion"/>
  </si>
  <si>
    <t>노임 19</t>
    <phoneticPr fontId="12" type="noConversion"/>
  </si>
  <si>
    <t>용접기 (교류)</t>
  </si>
  <si>
    <t>500 AmP</t>
  </si>
  <si>
    <t>0000761105000000</t>
  </si>
  <si>
    <t>호표 59</t>
    <phoneticPr fontId="12" type="noConversion"/>
  </si>
  <si>
    <t>경비 22</t>
    <phoneticPr fontId="12" type="noConversion"/>
  </si>
  <si>
    <t>공통 8-3(7611)</t>
  </si>
  <si>
    <t>하327(20.1)</t>
    <phoneticPr fontId="12" type="noConversion"/>
  </si>
  <si>
    <t>3116180730000078</t>
  </si>
  <si>
    <t>열연강판</t>
  </si>
  <si>
    <t>12t</t>
  </si>
  <si>
    <t>61</t>
  </si>
  <si>
    <t>26</t>
  </si>
  <si>
    <t>자재 47</t>
    <phoneticPr fontId="12" type="noConversion"/>
  </si>
  <si>
    <t>0104  주차장주변정비</t>
    <phoneticPr fontId="12" type="noConversion"/>
  </si>
  <si>
    <t>가림막 지지용 강관</t>
    <phoneticPr fontId="12" type="noConversion"/>
  </si>
  <si>
    <t>가림막 설치</t>
    <phoneticPr fontId="12" type="noConversion"/>
  </si>
  <si>
    <t>대문 지지용 강관</t>
    <phoneticPr fontId="12" type="noConversion"/>
  </si>
  <si>
    <t>자재 48</t>
    <phoneticPr fontId="12" type="noConversion"/>
  </si>
  <si>
    <t>물품식별번호
23990942</t>
    <phoneticPr fontId="12" type="noConversion"/>
  </si>
  <si>
    <t>호표 55</t>
    <phoneticPr fontId="12" type="noConversion"/>
  </si>
  <si>
    <t>물품식별번호
22362793</t>
    <phoneticPr fontId="12" type="noConversion"/>
  </si>
  <si>
    <t>에어컨(화장실-냉방)</t>
    <phoneticPr fontId="12" type="noConversion"/>
  </si>
  <si>
    <t>에어컨(사무소-냉난방)</t>
    <phoneticPr fontId="12" type="noConversion"/>
  </si>
  <si>
    <t>호표 10</t>
    <phoneticPr fontId="12" type="noConversion"/>
  </si>
  <si>
    <t>가림막설치</t>
    <phoneticPr fontId="12" type="noConversion"/>
  </si>
  <si>
    <t>( 호표 11 ) 가림막 설치 울타리, 주재료비 별도 M2</t>
    <phoneticPr fontId="12" type="noConversion"/>
  </si>
  <si>
    <t>가림막지지용 강관</t>
    <phoneticPr fontId="12" type="noConversion"/>
  </si>
  <si>
    <t>대문지지용강관</t>
    <phoneticPr fontId="12" type="noConversion"/>
  </si>
  <si>
    <t>장애인편의시설 설치</t>
    <phoneticPr fontId="12" type="noConversion"/>
  </si>
  <si>
    <t>자재 42</t>
    <phoneticPr fontId="12" type="noConversion"/>
  </si>
  <si>
    <t>미송원형가공목재(㎥)</t>
    <phoneticPr fontId="12" type="noConversion"/>
  </si>
  <si>
    <t>장애인편의시설설치</t>
    <phoneticPr fontId="12" type="noConversion"/>
  </si>
  <si>
    <t>자재 43</t>
    <phoneticPr fontId="12" type="noConversion"/>
  </si>
  <si>
    <t>호표 57</t>
    <phoneticPr fontId="12" type="noConversion"/>
  </si>
  <si>
    <t>L0.4m, 2-3년, 국산</t>
    <phoneticPr fontId="12" type="noConversion"/>
  </si>
  <si>
    <t>( 호표 23 ) 담쟁이 식재 L0.4m, 2-3년 본, 국산</t>
    <phoneticPr fontId="12" type="noConversion"/>
  </si>
  <si>
    <t>조경용수목, 담쟁이덩굴, 수관길이=0.4, 2-3년, 국산</t>
    <phoneticPr fontId="12" type="noConversion"/>
  </si>
  <si>
    <t>천단위절삭</t>
    <phoneticPr fontId="12" type="noConversion"/>
  </si>
  <si>
    <t>( 호표 56 ) 잡철물제작(철재) -강판 가공시 간단 kg</t>
    <phoneticPr fontId="12" type="noConversion"/>
  </si>
  <si>
    <t>( 호표 57 ) 잡철물설치(철재) -강판 가공시 간단 kg</t>
    <phoneticPr fontId="12" type="noConversion"/>
  </si>
  <si>
    <t>( 호표 58 ) 용접기(교류) 500Amp HR</t>
    <phoneticPr fontId="12" type="noConversion"/>
  </si>
  <si>
    <t>AJM101100000</t>
    <phoneticPr fontId="12" type="noConversion"/>
  </si>
  <si>
    <t>MBI105202200</t>
    <phoneticPr fontId="12" type="noConversion"/>
  </si>
  <si>
    <t>호표 56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</si>
</sst>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"/>
    <numFmt numFmtId="177" formatCode="#,##0.00#;\-#,##0.00#;#"/>
    <numFmt numFmtId="178" formatCode="#,##0.0;\-#,##0.0;#"/>
    <numFmt numFmtId="179" formatCode="#,##0;\-#,##0;#"/>
    <numFmt numFmtId="180" formatCode="#,###;\-#,###;#;"/>
  </numFmts>
  <fonts count="19" x14ac:knownFonts="1">
    <font>
      <sz val="11"/>
      <color theme="1"/>
      <name val="맑은 고딕"/>
      <family val="2"/>
      <scheme val="minor"/>
    </font>
    <font>
      <u/>
      <sz val="11"/>
      <color theme="10"/>
      <name val="맑은 고딕"/>
      <family val="2"/>
      <scheme val="minor"/>
    </font>
    <font>
      <sz val="11"/>
      <color theme="1"/>
      <name val="맑은 고딕"/>
      <family val="3"/>
    </font>
    <font>
      <u/>
      <sz val="11"/>
      <color theme="10"/>
      <name val="맑은 고딕"/>
      <family val="3"/>
    </font>
    <font>
      <sz val="16"/>
      <color theme="1"/>
      <name val="맑은 고딕"/>
      <family val="2"/>
      <scheme val="minor"/>
    </font>
    <font>
      <sz val="24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32"/>
      <color theme="1"/>
      <name val="맑은 고딕"/>
      <family val="2"/>
      <scheme val="minor"/>
    </font>
    <font>
      <sz val="11"/>
      <color theme="1"/>
      <name val="돋움체"/>
      <family val="3"/>
    </font>
    <font>
      <sz val="17.600000000000001"/>
      <color theme="1"/>
      <name val="맑은 고딕"/>
      <family val="2"/>
      <scheme val="minor"/>
    </font>
    <font>
      <b/>
      <u/>
      <sz val="16"/>
      <color theme="1"/>
      <name val="돋움체"/>
      <family val="3"/>
    </font>
    <font>
      <b/>
      <sz val="11"/>
      <color theme="1"/>
      <name val="맑은 고딕"/>
      <family val="3"/>
    </font>
    <font>
      <sz val="8"/>
      <name val="맑은 고딕"/>
      <family val="3"/>
      <charset val="129"/>
      <scheme val="minor"/>
    </font>
    <font>
      <sz val="11"/>
      <name val="맑은 고딕"/>
      <family val="3"/>
    </font>
    <font>
      <sz val="11"/>
      <color theme="1"/>
      <name val="맑은 고딕"/>
      <family val="3"/>
      <charset val="129"/>
    </font>
    <font>
      <sz val="11"/>
      <name val="맑은 고딕"/>
      <family val="3"/>
      <charset val="129"/>
    </font>
    <font>
      <sz val="10"/>
      <color theme="1"/>
      <name val="맑은 고딕"/>
      <family val="3"/>
    </font>
    <font>
      <sz val="11"/>
      <name val="맑은 고딕"/>
      <family val="2"/>
      <scheme val="minor"/>
    </font>
    <font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3">
    <xf numFmtId="0" fontId="0" fillId="0" borderId="0" xfId="0"/>
    <xf numFmtId="180" fontId="2" fillId="0" borderId="2" xfId="0" applyNumberFormat="1" applyFont="1" applyBorder="1" applyAlignment="1">
      <alignment horizontal="right" vertical="center" shrinkToFit="1"/>
    </xf>
    <xf numFmtId="0" fontId="3" fillId="0" borderId="3" xfId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shrinkToFit="1"/>
    </xf>
    <xf numFmtId="178" fontId="2" fillId="0" borderId="6" xfId="0" applyNumberFormat="1" applyFont="1" applyBorder="1" applyAlignment="1">
      <alignment horizontal="right" vertical="center" shrinkToFit="1"/>
    </xf>
    <xf numFmtId="0" fontId="2" fillId="0" borderId="7" xfId="0" applyFont="1" applyBorder="1" applyAlignment="1">
      <alignment horizontal="left" vertical="center" shrinkToFit="1"/>
    </xf>
    <xf numFmtId="179" fontId="2" fillId="0" borderId="6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49" fontId="2" fillId="0" borderId="2" xfId="0" applyNumberFormat="1" applyFont="1" applyBorder="1" applyAlignment="1">
      <alignment horizontal="left" vertical="center" shrinkToFit="1"/>
    </xf>
    <xf numFmtId="177" fontId="2" fillId="0" borderId="3" xfId="0" applyNumberFormat="1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178" fontId="2" fillId="0" borderId="12" xfId="0" applyNumberFormat="1" applyFont="1" applyBorder="1" applyAlignment="1">
      <alignment horizontal="right" vertical="center" shrinkToFit="1"/>
    </xf>
    <xf numFmtId="180" fontId="2" fillId="0" borderId="2" xfId="0" applyNumberFormat="1" applyFont="1" applyBorder="1" applyAlignment="1">
      <alignment horizontal="left" vertical="center" shrinkToFit="1"/>
    </xf>
    <xf numFmtId="179" fontId="2" fillId="0" borderId="12" xfId="0" applyNumberFormat="1" applyFont="1" applyBorder="1" applyAlignment="1">
      <alignment horizontal="right" vertical="center" shrinkToFit="1"/>
    </xf>
    <xf numFmtId="0" fontId="2" fillId="0" borderId="12" xfId="0" applyFont="1" applyBorder="1" applyAlignment="1">
      <alignment horizontal="left" vertical="center" shrinkToFit="1"/>
    </xf>
    <xf numFmtId="178" fontId="2" fillId="0" borderId="7" xfId="0" applyNumberFormat="1" applyFont="1" applyBorder="1" applyAlignment="1">
      <alignment horizontal="right"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right" vertical="center" shrinkToFit="1"/>
    </xf>
    <xf numFmtId="178" fontId="2" fillId="0" borderId="2" xfId="0" applyNumberFormat="1" applyFont="1" applyBorder="1" applyAlignment="1">
      <alignment horizontal="right" vertical="center" shrinkToFit="1"/>
    </xf>
    <xf numFmtId="0" fontId="11" fillId="0" borderId="3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right" vertical="center" shrinkToFit="1"/>
    </xf>
    <xf numFmtId="0" fontId="3" fillId="0" borderId="2" xfId="1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0" fontId="2" fillId="0" borderId="3" xfId="0" applyFont="1" applyBorder="1" applyAlignment="1">
      <alignment horizontal="left" vertical="center" shrinkToFit="1"/>
    </xf>
    <xf numFmtId="177" fontId="2" fillId="0" borderId="0" xfId="0" applyNumberFormat="1" applyFont="1" applyAlignment="1">
      <alignment horizontal="left" vertical="center" shrinkToFit="1"/>
    </xf>
    <xf numFmtId="177" fontId="2" fillId="0" borderId="2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right" vertical="center" shrinkToFit="1"/>
    </xf>
    <xf numFmtId="0" fontId="11" fillId="0" borderId="0" xfId="0" applyFont="1" applyAlignment="1">
      <alignment horizontal="center" vertical="center" wrapText="1" shrinkToFit="1"/>
    </xf>
    <xf numFmtId="177" fontId="2" fillId="0" borderId="2" xfId="0" applyNumberFormat="1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wrapText="1" shrinkToFit="1"/>
    </xf>
    <xf numFmtId="177" fontId="2" fillId="0" borderId="0" xfId="0" applyNumberFormat="1" applyFont="1" applyAlignment="1">
      <alignment horizontal="right" vertical="center" shrinkToFit="1"/>
    </xf>
    <xf numFmtId="0" fontId="14" fillId="0" borderId="2" xfId="0" applyFont="1" applyBorder="1" applyAlignment="1">
      <alignment horizontal="left" vertical="center" shrinkToFit="1"/>
    </xf>
    <xf numFmtId="0" fontId="1" fillId="0" borderId="2" xfId="1" applyBorder="1" applyAlignment="1">
      <alignment horizontal="right" vertical="center" shrinkToFit="1"/>
    </xf>
    <xf numFmtId="0" fontId="13" fillId="0" borderId="2" xfId="0" applyFont="1" applyBorder="1" applyAlignment="1">
      <alignment horizontal="left" vertical="center" shrinkToFit="1"/>
    </xf>
    <xf numFmtId="0" fontId="1" fillId="0" borderId="3" xfId="1" applyBorder="1" applyAlignment="1">
      <alignment horizontal="right" vertical="center" shrinkToFit="1"/>
    </xf>
    <xf numFmtId="0" fontId="16" fillId="0" borderId="2" xfId="0" applyFont="1" applyBorder="1" applyAlignment="1">
      <alignment horizontal="left" vertical="center" wrapText="1" shrinkToFit="1"/>
    </xf>
    <xf numFmtId="0" fontId="13" fillId="0" borderId="0" xfId="0" applyFont="1" applyAlignment="1">
      <alignment horizontal="left" vertical="center" shrinkToFit="1"/>
    </xf>
    <xf numFmtId="0" fontId="15" fillId="0" borderId="2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 shrinkToFit="1"/>
    </xf>
    <xf numFmtId="180" fontId="15" fillId="0" borderId="2" xfId="0" applyNumberFormat="1" applyFont="1" applyBorder="1" applyAlignment="1">
      <alignment horizontal="right" vertical="center" shrinkToFit="1"/>
    </xf>
    <xf numFmtId="0" fontId="15" fillId="0" borderId="3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0" xfId="0" applyFont="1" applyAlignment="1">
      <alignment horizontal="right" vertical="center" shrinkToFit="1"/>
    </xf>
    <xf numFmtId="0" fontId="15" fillId="0" borderId="4" xfId="0" applyFont="1" applyBorder="1" applyAlignment="1">
      <alignment horizontal="left" vertical="center" shrinkToFit="1"/>
    </xf>
    <xf numFmtId="0" fontId="18" fillId="0" borderId="0" xfId="0" applyFont="1"/>
    <xf numFmtId="0" fontId="2" fillId="2" borderId="2" xfId="0" applyFont="1" applyFill="1" applyBorder="1" applyAlignment="1">
      <alignment horizontal="left" vertical="center" shrinkToFit="1"/>
    </xf>
    <xf numFmtId="0" fontId="2" fillId="2" borderId="2" xfId="0" applyFont="1" applyFill="1" applyBorder="1" applyAlignment="1">
      <alignment horizontal="right" vertical="center" shrinkToFit="1"/>
    </xf>
    <xf numFmtId="177" fontId="2" fillId="2" borderId="2" xfId="0" applyNumberFormat="1" applyFont="1" applyFill="1" applyBorder="1" applyAlignment="1">
      <alignment horizontal="right" vertical="center" shrinkToFit="1"/>
    </xf>
    <xf numFmtId="177" fontId="2" fillId="2" borderId="2" xfId="0" applyNumberFormat="1" applyFont="1" applyFill="1" applyBorder="1" applyAlignment="1">
      <alignment horizontal="left" vertical="center" shrinkToFit="1"/>
    </xf>
    <xf numFmtId="0" fontId="3" fillId="0" borderId="3" xfId="1" applyFont="1" applyFill="1" applyBorder="1" applyAlignment="1">
      <alignment horizontal="right" vertical="center" shrinkToFit="1"/>
    </xf>
    <xf numFmtId="0" fontId="13" fillId="0" borderId="2" xfId="0" applyFont="1" applyBorder="1" applyAlignment="1">
      <alignment horizontal="right" vertical="center" shrinkToFit="1"/>
    </xf>
    <xf numFmtId="180" fontId="13" fillId="0" borderId="2" xfId="0" applyNumberFormat="1" applyFont="1" applyBorder="1" applyAlignment="1">
      <alignment horizontal="righ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4" xfId="0" applyFont="1" applyBorder="1" applyAlignment="1">
      <alignment horizontal="left" vertical="center" shrinkToFit="1"/>
    </xf>
    <xf numFmtId="0" fontId="17" fillId="0" borderId="0" xfId="0" applyFont="1"/>
    <xf numFmtId="0" fontId="0" fillId="0" borderId="11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176" fontId="9" fillId="0" borderId="0" xfId="0" applyNumberFormat="1" applyFont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5" xfId="0" applyNumberForma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0" fillId="0" borderId="0" xfId="0"/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XCostData\&#55141;&#50896;(&#51452;&#48320;&#51648;&#50669;)&#51221;&#48708;&#48143;%20&#44288;&#47532;&#44277;&#4932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44060;&#51064;\&#44608;&#51473;&#45824;\&#55141;&#50896;(&#51452;&#48320;&#51648;&#50669;)&#51221;&#48708;&#48143;%20&#44288;&#47532;&#44277;&#4932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444;&#44228;&#49892;/2022/S2207%20&#54868;&#50868;&#49324;%20&#51452;&#48320;&#51221;&#48708;&#44277;&#49324;%20&#49444;&#44228;(22.04.25~07.30)/09%20&#45225;&#54408;/220924/01%20&#44148;&#52629;/04%20&#45236;&#50669;&#49436;/&#54868;&#50868;&#49324;%20&#45824;&#50885;&#51204;%20&#51060;&#51204;%20&#48143;%20&#51452;&#48320;&#51221;&#48708;%20&#44277;&#49324;_2209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A"/>
      <sheetName val="원가계산서"/>
      <sheetName val="공종별집계표"/>
      <sheetName val="공종별내역서"/>
      <sheetName val="일위대가목록"/>
      <sheetName val="일위대가"/>
      <sheetName val="중기단가목록"/>
      <sheetName val="중기단가산출서"/>
      <sheetName val="단가대비표"/>
      <sheetName val="공사설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V21">
            <v>0</v>
          </cell>
          <cell r="AE21">
            <v>0</v>
          </cell>
        </row>
        <row r="54">
          <cell r="AE54">
            <v>0</v>
          </cell>
        </row>
      </sheetData>
      <sheetData sheetId="9">
        <row r="24">
          <cell r="C24">
            <v>100</v>
          </cell>
        </row>
        <row r="25">
          <cell r="C25">
            <v>100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A"/>
      <sheetName val="원가계산서"/>
      <sheetName val="공종별집계표"/>
      <sheetName val="공종별내역서"/>
      <sheetName val="일위대가목록"/>
      <sheetName val="일위대가"/>
      <sheetName val="중기단가목록"/>
      <sheetName val="중기단가산출서"/>
      <sheetName val="단가대비표"/>
      <sheetName val="공사설정"/>
    </sheetNames>
    <sheetDataSet>
      <sheetData sheetId="0"/>
      <sheetData sheetId="1"/>
      <sheetData sheetId="2"/>
      <sheetData sheetId="3"/>
      <sheetData sheetId="4">
        <row r="23">
          <cell r="F23">
            <v>23108</v>
          </cell>
          <cell r="G23">
            <v>0</v>
          </cell>
        </row>
        <row r="24">
          <cell r="F24">
            <v>9549</v>
          </cell>
          <cell r="G24">
            <v>0</v>
          </cell>
        </row>
      </sheetData>
      <sheetData sheetId="5"/>
      <sheetData sheetId="6"/>
      <sheetData sheetId="7"/>
      <sheetData sheetId="8"/>
      <sheetData sheetId="9">
        <row r="24">
          <cell r="C24">
            <v>100</v>
          </cell>
        </row>
        <row r="25">
          <cell r="C25">
            <v>100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A"/>
      <sheetName val="총괄원가계산서"/>
      <sheetName val="원가계산서"/>
      <sheetName val="공종별집계표"/>
      <sheetName val="공종별내역서"/>
      <sheetName val="일위대가목록"/>
      <sheetName val="일위대가"/>
      <sheetName val="중기단가목록"/>
      <sheetName val="중기단가산출서"/>
      <sheetName val="단가대비표"/>
      <sheetName val="공사설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8">
          <cell r="T28">
            <v>0</v>
          </cell>
        </row>
      </sheetData>
      <sheetData sheetId="10">
        <row r="24">
          <cell r="C24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O18"/>
  <sheetViews>
    <sheetView tabSelected="1" view="pageBreakPreview" zoomScaleNormal="85" zoomScaleSheetLayoutView="100" workbookViewId="0">
      <selection activeCell="E10" sqref="E10:K10"/>
    </sheetView>
  </sheetViews>
  <sheetFormatPr defaultColWidth="9.125" defaultRowHeight="16.5" x14ac:dyDescent="0.3"/>
  <cols>
    <col min="1" max="1" width="1.25" customWidth="1"/>
    <col min="2" max="2" width="11.25" customWidth="1"/>
    <col min="3" max="4" width="12.5" customWidth="1"/>
    <col min="5" max="5" width="11.25" customWidth="1"/>
    <col min="6" max="6" width="25" customWidth="1"/>
    <col min="7" max="7" width="11.25" customWidth="1"/>
    <col min="8" max="8" width="25" customWidth="1"/>
    <col min="9" max="9" width="11.25" customWidth="1"/>
    <col min="10" max="15" width="12.5" customWidth="1"/>
  </cols>
  <sheetData>
    <row r="1" spans="1:15" ht="90" customHeight="1" thickBot="1" x14ac:dyDescent="0.9">
      <c r="B1" s="75" t="s">
        <v>467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5" ht="52.5" customHeight="1" thickBot="1" x14ac:dyDescent="0.35">
      <c r="A2" s="74" t="s">
        <v>677</v>
      </c>
      <c r="B2" s="76" t="s">
        <v>362</v>
      </c>
      <c r="C2" s="77" t="s">
        <v>677</v>
      </c>
      <c r="D2" s="78"/>
      <c r="E2" s="76" t="s">
        <v>162</v>
      </c>
      <c r="F2" s="76" t="s">
        <v>677</v>
      </c>
      <c r="G2" s="76" t="s">
        <v>480</v>
      </c>
      <c r="H2" s="76" t="s">
        <v>677</v>
      </c>
      <c r="I2" s="76" t="s">
        <v>983</v>
      </c>
      <c r="J2" s="77" t="s">
        <v>677</v>
      </c>
      <c r="K2" s="78"/>
      <c r="L2" s="77" t="s">
        <v>1217</v>
      </c>
      <c r="M2" s="79"/>
      <c r="N2" s="78"/>
      <c r="O2" s="69" t="s">
        <v>677</v>
      </c>
    </row>
    <row r="3" spans="1:15" ht="37.5" customHeight="1" x14ac:dyDescent="0.3">
      <c r="B3" s="70" t="s">
        <v>677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2"/>
    </row>
    <row r="4" spans="1:15" ht="52.5" customHeight="1" x14ac:dyDescent="0.3">
      <c r="B4" s="69" t="s">
        <v>677</v>
      </c>
      <c r="C4" s="73" t="s">
        <v>1216</v>
      </c>
      <c r="D4" s="73"/>
      <c r="E4" s="73" t="s">
        <v>677</v>
      </c>
      <c r="F4" s="73"/>
      <c r="G4" s="73"/>
      <c r="H4" s="73"/>
      <c r="I4" s="73"/>
      <c r="J4" s="73"/>
      <c r="K4" s="73"/>
      <c r="L4" s="73"/>
      <c r="M4" s="73"/>
      <c r="N4" s="74"/>
    </row>
    <row r="5" spans="1:15" ht="56.25" customHeight="1" x14ac:dyDescent="0.3">
      <c r="B5" s="61" t="s">
        <v>677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5"/>
    </row>
    <row r="6" spans="1:15" ht="52.5" customHeight="1" x14ac:dyDescent="0.3">
      <c r="B6" s="61" t="s">
        <v>677</v>
      </c>
      <c r="C6" s="68" t="s">
        <v>1214</v>
      </c>
      <c r="D6" s="68"/>
      <c r="E6" s="68"/>
      <c r="F6" s="68"/>
      <c r="G6" s="68"/>
      <c r="H6" s="68"/>
      <c r="I6" s="68"/>
      <c r="J6" s="68"/>
      <c r="K6" s="68"/>
      <c r="L6" s="68"/>
      <c r="M6" s="62" t="s">
        <v>677</v>
      </c>
      <c r="N6" s="65"/>
    </row>
    <row r="7" spans="1:15" ht="56.25" customHeight="1" x14ac:dyDescent="0.3">
      <c r="B7" s="61" t="s">
        <v>677</v>
      </c>
      <c r="C7" s="66" t="s">
        <v>677</v>
      </c>
      <c r="D7" s="66"/>
      <c r="E7" s="66"/>
      <c r="F7" s="66"/>
      <c r="G7" s="66"/>
      <c r="H7" s="66"/>
      <c r="I7" s="66"/>
      <c r="J7" s="66"/>
      <c r="K7" s="66"/>
      <c r="L7" s="66"/>
      <c r="M7" s="62" t="s">
        <v>677</v>
      </c>
      <c r="N7" s="65"/>
    </row>
    <row r="8" spans="1:15" ht="52.5" customHeight="1" x14ac:dyDescent="0.3">
      <c r="B8" s="61" t="s">
        <v>677</v>
      </c>
      <c r="C8" s="67" t="s">
        <v>1215</v>
      </c>
      <c r="D8" s="67"/>
      <c r="E8" s="67"/>
      <c r="F8" s="67"/>
      <c r="G8" s="67"/>
      <c r="H8" s="67"/>
      <c r="I8" s="67"/>
      <c r="J8" s="67"/>
      <c r="K8" s="67"/>
      <c r="L8" s="67"/>
      <c r="M8" s="67"/>
      <c r="N8" s="65" t="s">
        <v>677</v>
      </c>
    </row>
    <row r="9" spans="1:15" ht="37.5" customHeight="1" x14ac:dyDescent="0.3">
      <c r="B9" s="61" t="s">
        <v>677</v>
      </c>
      <c r="C9" s="66" t="s">
        <v>677</v>
      </c>
      <c r="D9" s="66"/>
      <c r="E9" s="66"/>
      <c r="F9" s="66"/>
      <c r="G9" s="66"/>
      <c r="H9" s="66"/>
      <c r="I9" s="66"/>
      <c r="J9" s="66"/>
      <c r="K9" s="66"/>
      <c r="L9" s="66"/>
      <c r="M9" s="66"/>
      <c r="N9" s="65" t="s">
        <v>677</v>
      </c>
    </row>
    <row r="10" spans="1:15" ht="52.5" customHeight="1" x14ac:dyDescent="0.3">
      <c r="B10" s="61" t="s">
        <v>677</v>
      </c>
      <c r="C10" s="63" t="s">
        <v>376</v>
      </c>
      <c r="D10" s="63"/>
      <c r="E10" s="64" t="str">
        <f>" 일금 "&amp;NUMBERSTRING(원가계산서!E36, 1)&amp;"원정    "&amp;TEXT(원가계산서!E36, "#,###원")&amp;""</f>
        <v xml:space="preserve"> 일금 이억일천칠십이만일천원정    210,721,000원</v>
      </c>
      <c r="F10" s="64"/>
      <c r="G10" s="64"/>
      <c r="H10" s="64"/>
      <c r="I10" s="64"/>
      <c r="J10" s="64"/>
      <c r="K10" s="64"/>
      <c r="L10" s="62" t="s">
        <v>677</v>
      </c>
      <c r="M10" s="62"/>
      <c r="N10" s="65"/>
    </row>
    <row r="11" spans="1:15" ht="37.5" customHeight="1" x14ac:dyDescent="0.3">
      <c r="B11" s="61" t="s">
        <v>677</v>
      </c>
      <c r="C11" s="66" t="s">
        <v>677</v>
      </c>
      <c r="D11" s="66"/>
      <c r="E11" s="66"/>
      <c r="F11" s="66"/>
      <c r="G11" s="66"/>
      <c r="H11" s="66"/>
      <c r="I11" s="66"/>
      <c r="J11" s="66"/>
      <c r="K11" s="66"/>
      <c r="L11" s="62" t="s">
        <v>677</v>
      </c>
      <c r="M11" s="62"/>
      <c r="N11" s="65"/>
    </row>
    <row r="12" spans="1:15" ht="35.25" customHeight="1" x14ac:dyDescent="0.3">
      <c r="B12" s="61" t="s">
        <v>677</v>
      </c>
      <c r="C12" s="62"/>
      <c r="D12" s="63" t="s">
        <v>1212</v>
      </c>
      <c r="E12" s="63"/>
      <c r="F12" s="63"/>
      <c r="G12" s="63"/>
      <c r="H12" s="63"/>
      <c r="I12" s="64" t="str">
        <f>""&amp;TEXT(ROUND(원가계산서!E33, 0), "#,###원")&amp;""</f>
        <v>65,380,000원</v>
      </c>
      <c r="J12" s="64"/>
      <c r="K12" s="64"/>
      <c r="L12" s="62" t="s">
        <v>677</v>
      </c>
      <c r="M12" s="62"/>
      <c r="N12" s="65"/>
    </row>
    <row r="13" spans="1:15" ht="1.5" customHeight="1" x14ac:dyDescent="0.3">
      <c r="B13" s="61" t="s">
        <v>677</v>
      </c>
      <c r="D13" s="66" t="s">
        <v>677</v>
      </c>
      <c r="E13" s="66"/>
      <c r="F13" s="66"/>
      <c r="G13" s="66"/>
      <c r="H13" s="66"/>
      <c r="I13" s="66"/>
      <c r="J13" s="66"/>
      <c r="K13" s="66"/>
      <c r="L13" s="62" t="s">
        <v>677</v>
      </c>
      <c r="M13" s="62"/>
      <c r="N13" s="65"/>
    </row>
    <row r="14" spans="1:15" ht="33.75" customHeight="1" x14ac:dyDescent="0.3">
      <c r="B14" s="61" t="s">
        <v>677</v>
      </c>
      <c r="C14" s="62"/>
      <c r="D14" s="63" t="s">
        <v>1213</v>
      </c>
      <c r="E14" s="63"/>
      <c r="F14" s="63"/>
      <c r="G14" s="63"/>
      <c r="H14" s="63"/>
      <c r="I14" s="64" t="str">
        <f>""&amp;TEXT(ROUND(원가계산서!E35, 0), "#,###원")&amp;""</f>
        <v>145,341,000원</v>
      </c>
      <c r="J14" s="64"/>
      <c r="K14" s="64"/>
      <c r="L14" s="62" t="s">
        <v>677</v>
      </c>
      <c r="M14" s="62"/>
      <c r="N14" s="65"/>
    </row>
    <row r="15" spans="1:15" ht="1.5" customHeight="1" x14ac:dyDescent="0.3">
      <c r="B15" s="61" t="s">
        <v>677</v>
      </c>
      <c r="D15" s="66" t="s">
        <v>677</v>
      </c>
      <c r="E15" s="66"/>
      <c r="F15" s="66"/>
      <c r="G15" s="66"/>
      <c r="H15" s="66"/>
      <c r="I15" s="66"/>
      <c r="J15" s="66"/>
      <c r="K15" s="66"/>
      <c r="L15" s="62" t="s">
        <v>677</v>
      </c>
      <c r="M15" s="62"/>
      <c r="N15" s="65"/>
    </row>
    <row r="16" spans="1:15" ht="33.75" customHeight="1" x14ac:dyDescent="0.3">
      <c r="B16" s="61" t="s">
        <v>677</v>
      </c>
      <c r="C16" s="62"/>
      <c r="D16" s="63" t="s">
        <v>674</v>
      </c>
      <c r="E16" s="63"/>
      <c r="F16" s="63"/>
      <c r="G16" s="63"/>
      <c r="H16" s="63"/>
      <c r="I16" s="64" t="str">
        <f>""&amp;TEXT(ROUND(원가계산서!E36, 0), "#,###원")&amp;""</f>
        <v>210,721,000원</v>
      </c>
      <c r="J16" s="64"/>
      <c r="K16" s="64"/>
      <c r="L16" s="62" t="s">
        <v>677</v>
      </c>
      <c r="M16" s="62"/>
      <c r="N16" s="65"/>
    </row>
    <row r="17" spans="2:14" ht="37.5" customHeight="1" x14ac:dyDescent="0.3">
      <c r="B17" s="61" t="s">
        <v>677</v>
      </c>
      <c r="C17" s="62"/>
      <c r="D17" s="66" t="s">
        <v>677</v>
      </c>
      <c r="E17" s="66"/>
      <c r="F17" s="66"/>
      <c r="G17" s="66"/>
      <c r="H17" s="66"/>
      <c r="I17" s="66"/>
      <c r="J17" s="66"/>
      <c r="K17" s="66"/>
      <c r="L17" s="62" t="s">
        <v>677</v>
      </c>
      <c r="M17" s="62"/>
      <c r="N17" s="65"/>
    </row>
    <row r="18" spans="2:14" ht="37.5" customHeight="1" thickBot="1" x14ac:dyDescent="0.35">
      <c r="B18" s="58" t="s">
        <v>677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60"/>
    </row>
  </sheetData>
  <mergeCells count="58">
    <mergeCell ref="B1:N1"/>
    <mergeCell ref="A2"/>
    <mergeCell ref="B2"/>
    <mergeCell ref="C2:D2"/>
    <mergeCell ref="E2"/>
    <mergeCell ref="F2"/>
    <mergeCell ref="G2"/>
    <mergeCell ref="H2"/>
    <mergeCell ref="I2"/>
    <mergeCell ref="J2:K2"/>
    <mergeCell ref="L2:N2"/>
    <mergeCell ref="O2"/>
    <mergeCell ref="B3:N3"/>
    <mergeCell ref="B4"/>
    <mergeCell ref="C4:D4"/>
    <mergeCell ref="E4:N4"/>
    <mergeCell ref="B5:N5"/>
    <mergeCell ref="B6"/>
    <mergeCell ref="C6:L6"/>
    <mergeCell ref="M6:N6"/>
    <mergeCell ref="B7"/>
    <mergeCell ref="C7:L7"/>
    <mergeCell ref="M7:N7"/>
    <mergeCell ref="B8"/>
    <mergeCell ref="C8:M8"/>
    <mergeCell ref="N8"/>
    <mergeCell ref="B9"/>
    <mergeCell ref="C9:M9"/>
    <mergeCell ref="N9"/>
    <mergeCell ref="B10"/>
    <mergeCell ref="C10:D10"/>
    <mergeCell ref="E10:K10"/>
    <mergeCell ref="L10:N10"/>
    <mergeCell ref="B11"/>
    <mergeCell ref="C11:K11"/>
    <mergeCell ref="L11:N11"/>
    <mergeCell ref="B12:C12"/>
    <mergeCell ref="D12:H12"/>
    <mergeCell ref="I12:K12"/>
    <mergeCell ref="L12:N12"/>
    <mergeCell ref="B13"/>
    <mergeCell ref="D13:K13"/>
    <mergeCell ref="L13:N13"/>
    <mergeCell ref="B14:C14"/>
    <mergeCell ref="D14:H14"/>
    <mergeCell ref="I14:K14"/>
    <mergeCell ref="L14:N14"/>
    <mergeCell ref="B15"/>
    <mergeCell ref="D15:K15"/>
    <mergeCell ref="L15:N15"/>
    <mergeCell ref="B18:N18"/>
    <mergeCell ref="B16:C16"/>
    <mergeCell ref="D16:H16"/>
    <mergeCell ref="I16:K16"/>
    <mergeCell ref="L16:N16"/>
    <mergeCell ref="B17:C17"/>
    <mergeCell ref="D17:K17"/>
    <mergeCell ref="L17:N17"/>
  </mergeCells>
  <phoneticPr fontId="12" type="noConversion"/>
  <pageMargins left="0.78740157480314954" right="0" top="0.39370078740157477" bottom="0.37735849056603776" header="0" footer="0"/>
  <pageSetup paperSize="9" scale="6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N26"/>
  <sheetViews>
    <sheetView zoomScaleNormal="100" workbookViewId="0">
      <selection activeCell="I38" sqref="I38"/>
    </sheetView>
  </sheetViews>
  <sheetFormatPr defaultColWidth="9.125" defaultRowHeight="16.5" x14ac:dyDescent="0.3"/>
  <sheetData>
    <row r="1" spans="1:11" x14ac:dyDescent="0.3">
      <c r="A1" s="7" t="s">
        <v>216</v>
      </c>
    </row>
    <row r="2" spans="1:11" x14ac:dyDescent="0.3">
      <c r="B2" s="7" t="s">
        <v>870</v>
      </c>
      <c r="C2" s="7" t="s">
        <v>851</v>
      </c>
    </row>
    <row r="3" spans="1:11" x14ac:dyDescent="0.3">
      <c r="B3" s="7" t="s">
        <v>966</v>
      </c>
      <c r="C3" s="7" t="s">
        <v>351</v>
      </c>
    </row>
    <row r="4" spans="1:11" x14ac:dyDescent="0.3">
      <c r="B4" s="7" t="s">
        <v>352</v>
      </c>
      <c r="C4" s="7" t="s">
        <v>316</v>
      </c>
    </row>
    <row r="5" spans="1:11" x14ac:dyDescent="0.3">
      <c r="B5" s="7" t="s">
        <v>635</v>
      </c>
      <c r="C5" s="7" t="s">
        <v>316</v>
      </c>
    </row>
    <row r="6" spans="1:11" x14ac:dyDescent="0.3">
      <c r="B6" s="7" t="s">
        <v>165</v>
      </c>
      <c r="C6" s="7" t="s">
        <v>316</v>
      </c>
    </row>
    <row r="7" spans="1:11" x14ac:dyDescent="0.3">
      <c r="B7" s="7" t="s">
        <v>171</v>
      </c>
      <c r="C7" s="7" t="s">
        <v>881</v>
      </c>
    </row>
    <row r="8" spans="1:11" x14ac:dyDescent="0.3">
      <c r="B8" s="7" t="s">
        <v>930</v>
      </c>
      <c r="C8" s="7" t="s">
        <v>957</v>
      </c>
      <c r="D8" s="28">
        <v>1</v>
      </c>
    </row>
    <row r="9" spans="1:11" x14ac:dyDescent="0.3">
      <c r="B9" s="7" t="s">
        <v>121</v>
      </c>
      <c r="C9" s="7" t="s">
        <v>957</v>
      </c>
      <c r="D9" s="28">
        <v>3</v>
      </c>
    </row>
    <row r="10" spans="1:11" x14ac:dyDescent="0.3">
      <c r="B10" s="7" t="s">
        <v>229</v>
      </c>
      <c r="C10" s="7" t="s">
        <v>384</v>
      </c>
      <c r="D10" s="7" t="s">
        <v>394</v>
      </c>
      <c r="E10" s="7" t="s">
        <v>752</v>
      </c>
      <c r="F10" s="7" t="s">
        <v>135</v>
      </c>
      <c r="G10" s="7" t="s">
        <v>452</v>
      </c>
      <c r="H10" s="7" t="s">
        <v>825</v>
      </c>
      <c r="I10" s="7" t="s">
        <v>214</v>
      </c>
      <c r="J10" s="7" t="s">
        <v>33</v>
      </c>
      <c r="K10" s="7" t="s">
        <v>232</v>
      </c>
    </row>
    <row r="11" spans="1:11" x14ac:dyDescent="0.3">
      <c r="B11" s="7" t="s">
        <v>918</v>
      </c>
      <c r="C11" s="28">
        <v>1071.0999999999999</v>
      </c>
      <c r="D11" s="28">
        <v>0</v>
      </c>
      <c r="E11" s="28">
        <v>0</v>
      </c>
    </row>
    <row r="12" spans="1:11" x14ac:dyDescent="0.3">
      <c r="B12" s="7" t="s">
        <v>341</v>
      </c>
      <c r="C12" s="7" t="s">
        <v>875</v>
      </c>
      <c r="D12" s="28">
        <v>5</v>
      </c>
    </row>
    <row r="13" spans="1:11" x14ac:dyDescent="0.3">
      <c r="B13" s="7" t="s">
        <v>318</v>
      </c>
      <c r="C13" s="7" t="s">
        <v>875</v>
      </c>
      <c r="D13" s="28">
        <v>5</v>
      </c>
    </row>
    <row r="14" spans="1:11" x14ac:dyDescent="0.3">
      <c r="B14" s="7" t="s">
        <v>511</v>
      </c>
      <c r="C14" s="7" t="s">
        <v>875</v>
      </c>
      <c r="D14" s="28">
        <v>4</v>
      </c>
    </row>
    <row r="15" spans="1:11" x14ac:dyDescent="0.3">
      <c r="B15" s="7" t="s">
        <v>573</v>
      </c>
      <c r="C15" s="7" t="s">
        <v>957</v>
      </c>
      <c r="D15" s="28">
        <v>6</v>
      </c>
    </row>
    <row r="16" spans="1:11" x14ac:dyDescent="0.3">
      <c r="B16" s="7" t="s">
        <v>66</v>
      </c>
      <c r="C16" s="7" t="s">
        <v>851</v>
      </c>
      <c r="D16" s="7" t="s">
        <v>82</v>
      </c>
      <c r="E16" s="7" t="s">
        <v>726</v>
      </c>
      <c r="F16" s="7" t="s">
        <v>667</v>
      </c>
      <c r="G16" s="7" t="s">
        <v>791</v>
      </c>
    </row>
    <row r="17" spans="2:14" x14ac:dyDescent="0.3">
      <c r="B17" s="7" t="s">
        <v>609</v>
      </c>
      <c r="C17" s="28">
        <v>1.1100000000000001</v>
      </c>
      <c r="D17" s="28">
        <v>1.1200000000000001</v>
      </c>
    </row>
    <row r="18" spans="2:14" x14ac:dyDescent="0.3">
      <c r="B18" s="7" t="s">
        <v>827</v>
      </c>
      <c r="C18" s="28">
        <v>1</v>
      </c>
      <c r="D18" s="28">
        <v>1.5</v>
      </c>
      <c r="E18" s="28">
        <v>1.1599999999999999</v>
      </c>
      <c r="F18" s="28">
        <v>1.6</v>
      </c>
      <c r="G18" s="28">
        <v>1.6</v>
      </c>
      <c r="H18" s="28">
        <v>1.6</v>
      </c>
      <c r="I18" s="28">
        <v>1.94</v>
      </c>
      <c r="J18" s="28">
        <v>1.94</v>
      </c>
      <c r="K18" s="28">
        <v>1.94</v>
      </c>
      <c r="L18" s="28">
        <v>1</v>
      </c>
      <c r="M18" s="28">
        <v>1</v>
      </c>
      <c r="N18" s="28">
        <v>1</v>
      </c>
    </row>
    <row r="19" spans="2:14" x14ac:dyDescent="0.3">
      <c r="B19" s="7" t="s">
        <v>168</v>
      </c>
      <c r="C19" s="28">
        <v>1.25</v>
      </c>
      <c r="D19" s="28">
        <v>1.071</v>
      </c>
    </row>
    <row r="20" spans="2:14" x14ac:dyDescent="0.3">
      <c r="B20" s="7" t="s">
        <v>700</v>
      </c>
    </row>
    <row r="21" spans="2:14" x14ac:dyDescent="0.3">
      <c r="B21" s="7" t="s">
        <v>865</v>
      </c>
      <c r="C21" s="7" t="s">
        <v>957</v>
      </c>
      <c r="D21" s="28">
        <v>1</v>
      </c>
    </row>
    <row r="22" spans="2:14" x14ac:dyDescent="0.3">
      <c r="B22" s="7" t="s">
        <v>223</v>
      </c>
      <c r="C22" s="7" t="s">
        <v>521</v>
      </c>
      <c r="D22" s="7" t="s">
        <v>944</v>
      </c>
    </row>
    <row r="23" spans="2:14" x14ac:dyDescent="0.3">
      <c r="B23" s="7" t="s">
        <v>791</v>
      </c>
      <c r="C23" s="7" t="s">
        <v>939</v>
      </c>
      <c r="D23" s="7" t="s">
        <v>939</v>
      </c>
    </row>
    <row r="24" spans="2:14" x14ac:dyDescent="0.3">
      <c r="B24" s="7" t="s">
        <v>678</v>
      </c>
      <c r="C24" s="28">
        <v>100</v>
      </c>
    </row>
    <row r="25" spans="2:14" x14ac:dyDescent="0.3">
      <c r="B25" s="7" t="s">
        <v>727</v>
      </c>
      <c r="C25" s="28">
        <v>100</v>
      </c>
    </row>
    <row r="26" spans="2:14" x14ac:dyDescent="0.3">
      <c r="B26" s="7" t="s">
        <v>149</v>
      </c>
      <c r="C26" s="28">
        <v>100</v>
      </c>
    </row>
  </sheetData>
  <phoneticPr fontId="12" type="noConversion"/>
  <pageMargins left="0.78740157480314954" right="0" top="0.39370078740157477" bottom="0.3773584905660377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O36"/>
  <sheetViews>
    <sheetView view="pageBreakPreview" topLeftCell="B22" zoomScale="115" zoomScaleNormal="100" zoomScaleSheetLayoutView="115" workbookViewId="0">
      <selection activeCell="E35" sqref="E35"/>
    </sheetView>
  </sheetViews>
  <sheetFormatPr defaultColWidth="9.125" defaultRowHeight="16.5" x14ac:dyDescent="0.3"/>
  <cols>
    <col min="1" max="1" width="9.125" hidden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  <col min="8" max="15" width="9.125" hidden="1"/>
  </cols>
  <sheetData>
    <row r="1" spans="1:15" ht="24" customHeight="1" x14ac:dyDescent="0.3">
      <c r="A1" s="84" t="s">
        <v>76</v>
      </c>
      <c r="B1" s="84"/>
      <c r="C1" s="84"/>
      <c r="D1" s="84"/>
      <c r="E1" s="84"/>
      <c r="F1" s="84"/>
      <c r="G1" s="84"/>
    </row>
    <row r="2" spans="1:15" ht="21.95" customHeight="1" x14ac:dyDescent="0.3">
      <c r="A2" s="85" t="s">
        <v>1218</v>
      </c>
      <c r="B2" s="85"/>
      <c r="C2" s="85"/>
      <c r="D2" s="85"/>
      <c r="E2" s="85"/>
      <c r="F2" s="83" t="str">
        <f>"금액: 일금  "&amp;NUMBERSTRING(E36,1)&amp;"원정("&amp;TEXT(E36,"#,###원")&amp;")"</f>
        <v>금액: 일금  이억일천칠십이만일천원정(210,721,000원)</v>
      </c>
      <c r="G2" s="83"/>
    </row>
    <row r="3" spans="1:15" ht="21.95" customHeight="1" x14ac:dyDescent="0.3">
      <c r="A3" s="20" t="s">
        <v>677</v>
      </c>
      <c r="B3" s="86" t="s">
        <v>1008</v>
      </c>
      <c r="C3" s="87"/>
      <c r="D3" s="88"/>
      <c r="E3" s="20" t="s">
        <v>928</v>
      </c>
      <c r="F3" s="20" t="s">
        <v>35</v>
      </c>
      <c r="G3" s="20" t="s">
        <v>306</v>
      </c>
      <c r="H3" s="20" t="s">
        <v>851</v>
      </c>
      <c r="I3" s="20" t="s">
        <v>713</v>
      </c>
    </row>
    <row r="4" spans="1:15" ht="21.95" customHeight="1" x14ac:dyDescent="0.3">
      <c r="A4" s="10" t="s">
        <v>276</v>
      </c>
      <c r="B4" s="89" t="s">
        <v>691</v>
      </c>
      <c r="C4" s="89" t="s">
        <v>605</v>
      </c>
      <c r="D4" s="21" t="s">
        <v>608</v>
      </c>
      <c r="E4" s="24">
        <f>TRUNC(공종별집계표!F5, 0)</f>
        <v>23668415</v>
      </c>
      <c r="F4" s="10" t="s">
        <v>677</v>
      </c>
      <c r="G4" s="10" t="s">
        <v>677</v>
      </c>
      <c r="H4" s="22">
        <v>100</v>
      </c>
      <c r="I4" s="10" t="s">
        <v>608</v>
      </c>
      <c r="J4" s="10" t="s">
        <v>1010</v>
      </c>
      <c r="K4" s="10" t="s">
        <v>677</v>
      </c>
      <c r="L4" s="22">
        <v>0</v>
      </c>
      <c r="M4" s="10" t="s">
        <v>791</v>
      </c>
      <c r="N4" s="10" t="s">
        <v>890</v>
      </c>
      <c r="O4" s="10" t="s">
        <v>126</v>
      </c>
    </row>
    <row r="5" spans="1:15" ht="21.95" customHeight="1" x14ac:dyDescent="0.3">
      <c r="A5" s="10" t="s">
        <v>552</v>
      </c>
      <c r="B5" s="90"/>
      <c r="C5" s="90"/>
      <c r="D5" s="21" t="s">
        <v>745</v>
      </c>
      <c r="E5" s="24">
        <v>0</v>
      </c>
      <c r="F5" s="10" t="s">
        <v>677</v>
      </c>
      <c r="G5" s="10" t="s">
        <v>677</v>
      </c>
      <c r="H5" s="22">
        <v>110</v>
      </c>
      <c r="I5" s="10" t="s">
        <v>745</v>
      </c>
      <c r="J5" s="10" t="s">
        <v>1010</v>
      </c>
      <c r="K5" s="10" t="s">
        <v>677</v>
      </c>
      <c r="L5" s="22">
        <v>0</v>
      </c>
      <c r="M5" s="10" t="s">
        <v>791</v>
      </c>
      <c r="N5" s="10" t="s">
        <v>677</v>
      </c>
      <c r="O5" s="10" t="s">
        <v>500</v>
      </c>
    </row>
    <row r="6" spans="1:15" ht="21.95" customHeight="1" x14ac:dyDescent="0.3">
      <c r="A6" s="10" t="s">
        <v>45</v>
      </c>
      <c r="B6" s="90"/>
      <c r="C6" s="90"/>
      <c r="D6" s="21" t="s">
        <v>682</v>
      </c>
      <c r="E6" s="24">
        <v>0</v>
      </c>
      <c r="F6" s="10" t="s">
        <v>677</v>
      </c>
      <c r="G6" s="10" t="s">
        <v>677</v>
      </c>
      <c r="H6" s="22">
        <v>120</v>
      </c>
      <c r="I6" s="10" t="s">
        <v>682</v>
      </c>
      <c r="J6" s="10" t="s">
        <v>1010</v>
      </c>
      <c r="K6" s="10" t="s">
        <v>677</v>
      </c>
      <c r="L6" s="22">
        <v>0</v>
      </c>
      <c r="M6" s="10" t="s">
        <v>791</v>
      </c>
      <c r="N6" s="10" t="s">
        <v>677</v>
      </c>
      <c r="O6" s="10" t="s">
        <v>530</v>
      </c>
    </row>
    <row r="7" spans="1:15" ht="21.95" customHeight="1" x14ac:dyDescent="0.3">
      <c r="A7" s="10" t="s">
        <v>810</v>
      </c>
      <c r="B7" s="90"/>
      <c r="C7" s="91"/>
      <c r="D7" s="21" t="s">
        <v>379</v>
      </c>
      <c r="E7" s="24">
        <f>TRUNC(E4+E5-E6, 0)</f>
        <v>23668415</v>
      </c>
      <c r="F7" s="10" t="s">
        <v>677</v>
      </c>
      <c r="G7" s="10" t="s">
        <v>677</v>
      </c>
      <c r="H7" s="22">
        <v>190</v>
      </c>
      <c r="I7" s="10" t="s">
        <v>379</v>
      </c>
      <c r="J7" s="10" t="s">
        <v>1010</v>
      </c>
      <c r="K7" s="10" t="s">
        <v>853</v>
      </c>
      <c r="L7" s="22">
        <v>0</v>
      </c>
      <c r="M7" s="10" t="s">
        <v>791</v>
      </c>
      <c r="N7" s="10" t="s">
        <v>677</v>
      </c>
      <c r="O7" s="10" t="s">
        <v>965</v>
      </c>
    </row>
    <row r="8" spans="1:15" ht="21.95" customHeight="1" x14ac:dyDescent="0.3">
      <c r="A8" s="10" t="s">
        <v>743</v>
      </c>
      <c r="B8" s="90"/>
      <c r="C8" s="89" t="s">
        <v>148</v>
      </c>
      <c r="D8" s="21" t="s">
        <v>228</v>
      </c>
      <c r="E8" s="24">
        <f>TRUNC(공종별집계표!H5, 0)</f>
        <v>14125598</v>
      </c>
      <c r="F8" s="10" t="s">
        <v>677</v>
      </c>
      <c r="G8" s="10" t="s">
        <v>677</v>
      </c>
      <c r="H8" s="22">
        <v>200</v>
      </c>
      <c r="I8" s="10" t="s">
        <v>228</v>
      </c>
      <c r="J8" s="10" t="s">
        <v>1010</v>
      </c>
      <c r="K8" s="10" t="s">
        <v>677</v>
      </c>
      <c r="L8" s="22">
        <v>0</v>
      </c>
      <c r="M8" s="10" t="s">
        <v>791</v>
      </c>
      <c r="N8" s="10" t="s">
        <v>677</v>
      </c>
      <c r="O8" s="10" t="s">
        <v>843</v>
      </c>
    </row>
    <row r="9" spans="1:15" ht="21.95" customHeight="1" x14ac:dyDescent="0.3">
      <c r="A9" s="10" t="s">
        <v>313</v>
      </c>
      <c r="B9" s="90"/>
      <c r="C9" s="90"/>
      <c r="D9" s="21" t="s">
        <v>330</v>
      </c>
      <c r="E9" s="24">
        <f>TRUNC(E8*0.116, 0)</f>
        <v>1638569</v>
      </c>
      <c r="F9" s="10" t="s">
        <v>912</v>
      </c>
      <c r="G9" s="10" t="s">
        <v>677</v>
      </c>
      <c r="H9" s="22">
        <v>210</v>
      </c>
      <c r="I9" s="10" t="s">
        <v>330</v>
      </c>
      <c r="J9" s="10" t="s">
        <v>358</v>
      </c>
      <c r="K9" s="10" t="s">
        <v>75</v>
      </c>
      <c r="L9" s="22">
        <v>0</v>
      </c>
      <c r="M9" s="10" t="s">
        <v>791</v>
      </c>
      <c r="N9" s="10" t="s">
        <v>677</v>
      </c>
      <c r="O9" s="10" t="s">
        <v>198</v>
      </c>
    </row>
    <row r="10" spans="1:15" ht="21.95" customHeight="1" x14ac:dyDescent="0.3">
      <c r="A10" s="10" t="s">
        <v>246</v>
      </c>
      <c r="B10" s="90"/>
      <c r="C10" s="91"/>
      <c r="D10" s="21" t="s">
        <v>379</v>
      </c>
      <c r="E10" s="24">
        <f>TRUNC(E8+E9, 0)</f>
        <v>15764167</v>
      </c>
      <c r="F10" s="10" t="s">
        <v>677</v>
      </c>
      <c r="G10" s="10" t="s">
        <v>677</v>
      </c>
      <c r="H10" s="22">
        <v>290</v>
      </c>
      <c r="I10" s="10" t="s">
        <v>379</v>
      </c>
      <c r="J10" s="10" t="s">
        <v>1010</v>
      </c>
      <c r="K10" s="10" t="s">
        <v>492</v>
      </c>
      <c r="L10" s="22">
        <v>0</v>
      </c>
      <c r="M10" s="10" t="s">
        <v>791</v>
      </c>
      <c r="N10" s="10" t="s">
        <v>677</v>
      </c>
      <c r="O10" s="10" t="s">
        <v>652</v>
      </c>
    </row>
    <row r="11" spans="1:15" ht="21.95" customHeight="1" x14ac:dyDescent="0.3">
      <c r="A11" s="10" t="s">
        <v>795</v>
      </c>
      <c r="B11" s="90"/>
      <c r="C11" s="89" t="s">
        <v>639</v>
      </c>
      <c r="D11" s="21" t="s">
        <v>248</v>
      </c>
      <c r="E11" s="24">
        <f>공종별집계표!L13</f>
        <v>1445838</v>
      </c>
      <c r="F11" s="10" t="s">
        <v>677</v>
      </c>
      <c r="G11" s="10" t="s">
        <v>677</v>
      </c>
      <c r="H11" s="22">
        <v>3000</v>
      </c>
      <c r="I11" s="10" t="s">
        <v>248</v>
      </c>
      <c r="J11" s="10" t="s">
        <v>1010</v>
      </c>
      <c r="K11" s="10" t="s">
        <v>677</v>
      </c>
      <c r="L11" s="22">
        <v>0</v>
      </c>
      <c r="M11" s="10" t="s">
        <v>791</v>
      </c>
      <c r="N11" s="10" t="s">
        <v>677</v>
      </c>
      <c r="O11" s="10" t="s">
        <v>925</v>
      </c>
    </row>
    <row r="12" spans="1:15" ht="21.95" customHeight="1" x14ac:dyDescent="0.3">
      <c r="A12" s="10" t="s">
        <v>95</v>
      </c>
      <c r="B12" s="90"/>
      <c r="C12" s="90"/>
      <c r="D12" s="21" t="s">
        <v>839</v>
      </c>
      <c r="E12" s="24">
        <f>TRUNC(공종별집계표!J5, 0)</f>
        <v>951267</v>
      </c>
      <c r="F12" s="10" t="s">
        <v>677</v>
      </c>
      <c r="G12" s="10" t="s">
        <v>677</v>
      </c>
      <c r="H12" s="22">
        <v>3100</v>
      </c>
      <c r="I12" s="10" t="s">
        <v>839</v>
      </c>
      <c r="J12" s="10" t="s">
        <v>1010</v>
      </c>
      <c r="K12" s="10" t="s">
        <v>677</v>
      </c>
      <c r="L12" s="22">
        <v>0</v>
      </c>
      <c r="M12" s="10" t="s">
        <v>791</v>
      </c>
      <c r="N12" s="10" t="s">
        <v>677</v>
      </c>
      <c r="O12" s="10" t="s">
        <v>789</v>
      </c>
    </row>
    <row r="13" spans="1:15" ht="21.95" customHeight="1" x14ac:dyDescent="0.3">
      <c r="A13" s="10" t="s">
        <v>423</v>
      </c>
      <c r="B13" s="90"/>
      <c r="C13" s="90"/>
      <c r="D13" s="21" t="s">
        <v>1018</v>
      </c>
      <c r="E13" s="24">
        <f>TRUNC(E10*0.037, 0)</f>
        <v>583274</v>
      </c>
      <c r="F13" s="10" t="s">
        <v>119</v>
      </c>
      <c r="G13" s="10" t="s">
        <v>579</v>
      </c>
      <c r="H13" s="22">
        <v>3300</v>
      </c>
      <c r="I13" s="10" t="s">
        <v>1018</v>
      </c>
      <c r="J13" s="10" t="s">
        <v>453</v>
      </c>
      <c r="K13" s="10" t="s">
        <v>63</v>
      </c>
      <c r="L13" s="22">
        <v>0</v>
      </c>
      <c r="M13" s="10" t="s">
        <v>791</v>
      </c>
      <c r="N13" s="10" t="s">
        <v>677</v>
      </c>
      <c r="O13" s="10" t="s">
        <v>150</v>
      </c>
    </row>
    <row r="14" spans="1:15" ht="21.95" customHeight="1" x14ac:dyDescent="0.3">
      <c r="A14" s="10" t="s">
        <v>988</v>
      </c>
      <c r="B14" s="90"/>
      <c r="C14" s="90"/>
      <c r="D14" s="21" t="s">
        <v>236</v>
      </c>
      <c r="E14" s="24">
        <f>TRUNC(E10*0.0101, 0)</f>
        <v>159218</v>
      </c>
      <c r="F14" s="10" t="s">
        <v>905</v>
      </c>
      <c r="G14" s="10" t="s">
        <v>191</v>
      </c>
      <c r="H14" s="22">
        <v>3400</v>
      </c>
      <c r="I14" s="10" t="s">
        <v>236</v>
      </c>
      <c r="J14" s="10" t="s">
        <v>34</v>
      </c>
      <c r="K14" s="10" t="s">
        <v>63</v>
      </c>
      <c r="L14" s="22">
        <v>0</v>
      </c>
      <c r="M14" s="10" t="s">
        <v>791</v>
      </c>
      <c r="N14" s="10" t="s">
        <v>677</v>
      </c>
      <c r="O14" s="10" t="s">
        <v>88</v>
      </c>
    </row>
    <row r="15" spans="1:15" ht="21.95" customHeight="1" x14ac:dyDescent="0.3">
      <c r="A15" s="10" t="s">
        <v>874</v>
      </c>
      <c r="B15" s="90"/>
      <c r="C15" s="90"/>
      <c r="D15" s="21" t="s">
        <v>729</v>
      </c>
      <c r="E15" s="24">
        <f>TRUNC(E8*0.03495, 0)</f>
        <v>493689</v>
      </c>
      <c r="F15" s="10" t="s">
        <v>60</v>
      </c>
      <c r="G15" s="10" t="s">
        <v>1017</v>
      </c>
      <c r="H15" s="22">
        <v>3500</v>
      </c>
      <c r="I15" s="10" t="s">
        <v>729</v>
      </c>
      <c r="J15" s="10" t="s">
        <v>342</v>
      </c>
      <c r="K15" s="10" t="s">
        <v>75</v>
      </c>
      <c r="L15" s="22">
        <v>0</v>
      </c>
      <c r="M15" s="10" t="s">
        <v>791</v>
      </c>
      <c r="N15" s="10" t="s">
        <v>677</v>
      </c>
      <c r="O15" s="10" t="s">
        <v>224</v>
      </c>
    </row>
    <row r="16" spans="1:15" ht="21.95" customHeight="1" x14ac:dyDescent="0.3">
      <c r="A16" s="10" t="s">
        <v>292</v>
      </c>
      <c r="B16" s="90"/>
      <c r="C16" s="90"/>
      <c r="D16" s="21" t="s">
        <v>290</v>
      </c>
      <c r="E16" s="24">
        <f>TRUNC(E8*0.045, 0)</f>
        <v>635651</v>
      </c>
      <c r="F16" s="10" t="s">
        <v>630</v>
      </c>
      <c r="G16" s="10" t="s">
        <v>1017</v>
      </c>
      <c r="H16" s="22">
        <v>3600</v>
      </c>
      <c r="I16" s="10" t="s">
        <v>290</v>
      </c>
      <c r="J16" s="10" t="s">
        <v>1039</v>
      </c>
      <c r="K16" s="10" t="s">
        <v>75</v>
      </c>
      <c r="L16" s="22">
        <v>0</v>
      </c>
      <c r="M16" s="10" t="s">
        <v>791</v>
      </c>
      <c r="N16" s="10" t="s">
        <v>677</v>
      </c>
      <c r="O16" s="10" t="s">
        <v>322</v>
      </c>
    </row>
    <row r="17" spans="1:15" ht="21.95" customHeight="1" x14ac:dyDescent="0.3">
      <c r="A17" s="10" t="s">
        <v>519</v>
      </c>
      <c r="B17" s="90"/>
      <c r="C17" s="90"/>
      <c r="D17" s="21" t="s">
        <v>465</v>
      </c>
      <c r="E17" s="24">
        <f>TRUNC(E15*0.1227, 0)</f>
        <v>60575</v>
      </c>
      <c r="F17" s="10" t="s">
        <v>10</v>
      </c>
      <c r="G17" s="10" t="s">
        <v>1017</v>
      </c>
      <c r="H17" s="22">
        <v>3750</v>
      </c>
      <c r="I17" s="10" t="s">
        <v>465</v>
      </c>
      <c r="J17" s="10" t="s">
        <v>756</v>
      </c>
      <c r="K17" s="10" t="s">
        <v>991</v>
      </c>
      <c r="L17" s="22">
        <v>0</v>
      </c>
      <c r="M17" s="10" t="s">
        <v>791</v>
      </c>
      <c r="N17" s="10" t="s">
        <v>677</v>
      </c>
      <c r="O17" s="10" t="s">
        <v>98</v>
      </c>
    </row>
    <row r="18" spans="1:15" ht="21.95" customHeight="1" x14ac:dyDescent="0.3">
      <c r="A18" s="10" t="s">
        <v>926</v>
      </c>
      <c r="B18" s="90"/>
      <c r="C18" s="90"/>
      <c r="D18" s="21" t="s">
        <v>643</v>
      </c>
      <c r="E18" s="24">
        <f>TRUNC(E8*0.023*0, 0)</f>
        <v>0</v>
      </c>
      <c r="F18" s="10" t="s">
        <v>58</v>
      </c>
      <c r="G18" s="10" t="s">
        <v>599</v>
      </c>
      <c r="H18" s="22">
        <v>3775</v>
      </c>
      <c r="I18" s="10" t="s">
        <v>643</v>
      </c>
      <c r="J18" s="10" t="s">
        <v>429</v>
      </c>
      <c r="K18" s="10" t="s">
        <v>75</v>
      </c>
      <c r="L18" s="22">
        <v>0</v>
      </c>
      <c r="M18" s="10" t="s">
        <v>791</v>
      </c>
      <c r="N18" s="10" t="s">
        <v>677</v>
      </c>
      <c r="O18" s="10" t="s">
        <v>145</v>
      </c>
    </row>
    <row r="19" spans="1:15" ht="21.95" customHeight="1" x14ac:dyDescent="0.3">
      <c r="A19" s="10" t="s">
        <v>647</v>
      </c>
      <c r="B19" s="90"/>
      <c r="C19" s="90"/>
      <c r="D19" s="21" t="s">
        <v>144</v>
      </c>
      <c r="E19" s="24">
        <f>TRUNC((E7+E8+E34/1.1)*0.0293, 0)</f>
        <v>1107364</v>
      </c>
      <c r="F19" s="10" t="s">
        <v>464</v>
      </c>
      <c r="G19" s="10" t="s">
        <v>1024</v>
      </c>
      <c r="H19" s="22">
        <v>3900</v>
      </c>
      <c r="I19" s="10" t="s">
        <v>144</v>
      </c>
      <c r="J19" s="10" t="s">
        <v>855</v>
      </c>
      <c r="K19" s="10" t="s">
        <v>49</v>
      </c>
      <c r="L19" s="22">
        <v>0</v>
      </c>
      <c r="M19" s="10" t="s">
        <v>791</v>
      </c>
      <c r="N19" s="10" t="s">
        <v>677</v>
      </c>
      <c r="O19" s="10" t="s">
        <v>709</v>
      </c>
    </row>
    <row r="20" spans="1:15" ht="21.95" customHeight="1" x14ac:dyDescent="0.3">
      <c r="A20" s="10" t="s">
        <v>343</v>
      </c>
      <c r="B20" s="90"/>
      <c r="C20" s="90"/>
      <c r="D20" s="21" t="s">
        <v>502</v>
      </c>
      <c r="E20" s="24">
        <f>TRUNC((E7+E8+E12)*0, 0)</f>
        <v>0</v>
      </c>
      <c r="F20" s="10" t="s">
        <v>185</v>
      </c>
      <c r="G20" s="10" t="s">
        <v>1151</v>
      </c>
      <c r="H20" s="22">
        <v>4600</v>
      </c>
      <c r="I20" s="10" t="s">
        <v>502</v>
      </c>
      <c r="J20" s="10" t="s">
        <v>1010</v>
      </c>
      <c r="K20" s="10" t="s">
        <v>202</v>
      </c>
      <c r="L20" s="22">
        <v>0</v>
      </c>
      <c r="M20" s="10" t="s">
        <v>791</v>
      </c>
      <c r="N20" s="10" t="s">
        <v>677</v>
      </c>
      <c r="O20" s="10" t="s">
        <v>761</v>
      </c>
    </row>
    <row r="21" spans="1:15" ht="21.95" customHeight="1" x14ac:dyDescent="0.3">
      <c r="A21" s="10" t="s">
        <v>525</v>
      </c>
      <c r="B21" s="90"/>
      <c r="C21" s="90"/>
      <c r="D21" s="21" t="s">
        <v>738</v>
      </c>
      <c r="E21" s="24">
        <f>TRUNC((E7+E10)*0.067, 0)</f>
        <v>2641982</v>
      </c>
      <c r="F21" s="10" t="s">
        <v>345</v>
      </c>
      <c r="G21" s="10" t="s">
        <v>677</v>
      </c>
      <c r="H21" s="22">
        <v>4700</v>
      </c>
      <c r="I21" s="10" t="s">
        <v>738</v>
      </c>
      <c r="J21" s="10" t="s">
        <v>937</v>
      </c>
      <c r="K21" s="10" t="s">
        <v>833</v>
      </c>
      <c r="L21" s="22">
        <v>0</v>
      </c>
      <c r="M21" s="10" t="s">
        <v>791</v>
      </c>
      <c r="N21" s="10" t="s">
        <v>677</v>
      </c>
      <c r="O21" s="10" t="s">
        <v>335</v>
      </c>
    </row>
    <row r="22" spans="1:15" ht="21.95" customHeight="1" x14ac:dyDescent="0.3">
      <c r="A22" s="10" t="s">
        <v>561</v>
      </c>
      <c r="B22" s="90"/>
      <c r="C22" s="90"/>
      <c r="D22" s="21" t="s">
        <v>260</v>
      </c>
      <c r="E22" s="24">
        <v>0</v>
      </c>
      <c r="F22" s="10" t="s">
        <v>677</v>
      </c>
      <c r="G22" s="10" t="s">
        <v>564</v>
      </c>
      <c r="H22" s="22">
        <v>4710</v>
      </c>
      <c r="I22" s="10" t="s">
        <v>260</v>
      </c>
      <c r="J22" s="10" t="s">
        <v>1010</v>
      </c>
      <c r="K22" s="10" t="s">
        <v>677</v>
      </c>
      <c r="L22" s="22">
        <v>0</v>
      </c>
      <c r="M22" s="10" t="s">
        <v>791</v>
      </c>
      <c r="N22" s="10" t="s">
        <v>677</v>
      </c>
      <c r="O22" s="10" t="s">
        <v>648</v>
      </c>
    </row>
    <row r="23" spans="1:15" ht="21.95" customHeight="1" x14ac:dyDescent="0.3">
      <c r="A23" s="10" t="s">
        <v>863</v>
      </c>
      <c r="B23" s="90"/>
      <c r="C23" s="90"/>
      <c r="D23" s="21" t="s">
        <v>175</v>
      </c>
      <c r="E23" s="24">
        <f>TRUNC((E7+E8+E12)*0, 0)</f>
        <v>0</v>
      </c>
      <c r="F23" s="10" t="s">
        <v>185</v>
      </c>
      <c r="G23" s="10" t="s">
        <v>1151</v>
      </c>
      <c r="H23" s="22">
        <v>7310</v>
      </c>
      <c r="I23" s="10" t="s">
        <v>175</v>
      </c>
      <c r="J23" s="10" t="s">
        <v>1010</v>
      </c>
      <c r="K23" s="10" t="s">
        <v>202</v>
      </c>
      <c r="L23" s="22">
        <v>0</v>
      </c>
      <c r="M23" s="10" t="s">
        <v>791</v>
      </c>
      <c r="N23" s="10" t="s">
        <v>677</v>
      </c>
      <c r="O23" s="10" t="s">
        <v>840</v>
      </c>
    </row>
    <row r="24" spans="1:15" ht="21.95" customHeight="1" x14ac:dyDescent="0.3">
      <c r="A24" s="10" t="s">
        <v>395</v>
      </c>
      <c r="B24" s="90"/>
      <c r="C24" s="90"/>
      <c r="D24" s="21" t="s">
        <v>195</v>
      </c>
      <c r="E24" s="24">
        <f>TRUNC((E7+E8+E12)*0, 0)</f>
        <v>0</v>
      </c>
      <c r="F24" s="10" t="s">
        <v>185</v>
      </c>
      <c r="G24" s="10" t="s">
        <v>1151</v>
      </c>
      <c r="H24" s="22">
        <v>7410</v>
      </c>
      <c r="I24" s="10" t="s">
        <v>195</v>
      </c>
      <c r="J24" s="10" t="s">
        <v>1010</v>
      </c>
      <c r="K24" s="10" t="s">
        <v>202</v>
      </c>
      <c r="L24" s="22">
        <v>0</v>
      </c>
      <c r="M24" s="10" t="s">
        <v>791</v>
      </c>
      <c r="N24" s="10" t="s">
        <v>677</v>
      </c>
      <c r="O24" s="10" t="s">
        <v>241</v>
      </c>
    </row>
    <row r="25" spans="1:15" ht="21.95" customHeight="1" x14ac:dyDescent="0.3">
      <c r="A25" s="10"/>
      <c r="B25" s="90"/>
      <c r="C25" s="90"/>
      <c r="D25" s="21" t="s">
        <v>1148</v>
      </c>
      <c r="E25" s="24">
        <f>공종별집계표!L15</f>
        <v>578000</v>
      </c>
      <c r="F25" s="10"/>
      <c r="G25" s="10"/>
      <c r="H25" s="22"/>
      <c r="I25" s="10"/>
      <c r="J25" s="10"/>
      <c r="K25" s="10"/>
      <c r="L25" s="22"/>
      <c r="M25" s="10"/>
      <c r="N25" s="10"/>
      <c r="O25" s="10"/>
    </row>
    <row r="26" spans="1:15" ht="21.95" customHeight="1" x14ac:dyDescent="0.3">
      <c r="A26" s="10"/>
      <c r="B26" s="90"/>
      <c r="C26" s="90"/>
      <c r="D26" s="21" t="s">
        <v>1149</v>
      </c>
      <c r="E26" s="24">
        <f>공종별집계표!L16</f>
        <v>3586721</v>
      </c>
      <c r="F26" s="10"/>
      <c r="G26" s="10"/>
      <c r="H26" s="22"/>
      <c r="I26" s="10"/>
      <c r="J26" s="10"/>
      <c r="K26" s="10"/>
      <c r="L26" s="22"/>
      <c r="M26" s="10"/>
      <c r="N26" s="10"/>
      <c r="O26" s="10"/>
    </row>
    <row r="27" spans="1:15" ht="21.95" customHeight="1" x14ac:dyDescent="0.3">
      <c r="A27" s="10" t="s">
        <v>636</v>
      </c>
      <c r="B27" s="91"/>
      <c r="C27" s="91"/>
      <c r="D27" s="21" t="s">
        <v>379</v>
      </c>
      <c r="E27" s="24">
        <f>TRUNC(E11+E12+E13+E14+E15+E16+E18+E19+E17+E20+E21+E22+E23+E24+E25+E26, 0)</f>
        <v>12243579</v>
      </c>
      <c r="F27" s="10" t="s">
        <v>677</v>
      </c>
      <c r="G27" s="10" t="s">
        <v>677</v>
      </c>
      <c r="H27" s="22">
        <v>9910</v>
      </c>
      <c r="I27" s="10" t="s">
        <v>379</v>
      </c>
      <c r="J27" s="10" t="s">
        <v>1010</v>
      </c>
      <c r="K27" s="10" t="s">
        <v>359</v>
      </c>
      <c r="L27" s="22">
        <v>0</v>
      </c>
      <c r="M27" s="10" t="s">
        <v>791</v>
      </c>
      <c r="N27" s="10" t="s">
        <v>677</v>
      </c>
      <c r="O27" s="10" t="s">
        <v>187</v>
      </c>
    </row>
    <row r="28" spans="1:15" ht="21.95" customHeight="1" x14ac:dyDescent="0.3">
      <c r="A28" s="10" t="s">
        <v>604</v>
      </c>
      <c r="B28" s="80" t="s">
        <v>412</v>
      </c>
      <c r="C28" s="81"/>
      <c r="D28" s="82"/>
      <c r="E28" s="24">
        <f>TRUNC(E7+E10+E27, 0)</f>
        <v>51676161</v>
      </c>
      <c r="F28" s="10" t="s">
        <v>677</v>
      </c>
      <c r="G28" s="10" t="s">
        <v>677</v>
      </c>
      <c r="H28" s="22">
        <v>900710</v>
      </c>
      <c r="I28" s="10" t="s">
        <v>412</v>
      </c>
      <c r="J28" s="10" t="s">
        <v>1010</v>
      </c>
      <c r="K28" s="10" t="s">
        <v>97</v>
      </c>
      <c r="L28" s="22">
        <v>0</v>
      </c>
      <c r="M28" s="10" t="s">
        <v>791</v>
      </c>
      <c r="N28" s="10" t="s">
        <v>677</v>
      </c>
      <c r="O28" s="10" t="s">
        <v>410</v>
      </c>
    </row>
    <row r="29" spans="1:15" ht="21.95" customHeight="1" x14ac:dyDescent="0.3">
      <c r="A29" s="10" t="s">
        <v>1021</v>
      </c>
      <c r="B29" s="80" t="s">
        <v>235</v>
      </c>
      <c r="C29" s="81"/>
      <c r="D29" s="82"/>
      <c r="E29" s="24">
        <f>TRUNC(E28*0.06, 0)</f>
        <v>3100569</v>
      </c>
      <c r="F29" s="10" t="s">
        <v>18</v>
      </c>
      <c r="G29" s="10" t="s">
        <v>677</v>
      </c>
      <c r="H29" s="22">
        <v>900810</v>
      </c>
      <c r="I29" s="10" t="s">
        <v>235</v>
      </c>
      <c r="J29" s="10" t="s">
        <v>769</v>
      </c>
      <c r="K29" s="10" t="s">
        <v>96</v>
      </c>
      <c r="L29" s="22">
        <v>0</v>
      </c>
      <c r="M29" s="10" t="s">
        <v>791</v>
      </c>
      <c r="N29" s="10" t="s">
        <v>677</v>
      </c>
      <c r="O29" s="10" t="s">
        <v>409</v>
      </c>
    </row>
    <row r="30" spans="1:15" ht="21.95" customHeight="1" x14ac:dyDescent="0.3">
      <c r="A30" s="10" t="s">
        <v>263</v>
      </c>
      <c r="B30" s="80" t="s">
        <v>980</v>
      </c>
      <c r="C30" s="81"/>
      <c r="D30" s="82"/>
      <c r="E30" s="24">
        <f>TRUNC((E10+E27+E29)*0.15, 0)-7274/1.1</f>
        <v>4659634.2727272725</v>
      </c>
      <c r="F30" s="10" t="s">
        <v>1031</v>
      </c>
      <c r="G30" s="10" t="s">
        <v>677</v>
      </c>
      <c r="H30" s="22">
        <v>900820</v>
      </c>
      <c r="I30" s="10" t="s">
        <v>980</v>
      </c>
      <c r="J30" s="10" t="s">
        <v>7</v>
      </c>
      <c r="K30" s="10" t="s">
        <v>1009</v>
      </c>
      <c r="L30" s="22">
        <v>0</v>
      </c>
      <c r="M30" s="10" t="s">
        <v>791</v>
      </c>
      <c r="N30" s="10" t="s">
        <v>677</v>
      </c>
      <c r="O30" s="10" t="s">
        <v>479</v>
      </c>
    </row>
    <row r="31" spans="1:15" ht="21.95" customHeight="1" x14ac:dyDescent="0.3">
      <c r="A31" s="10" t="s">
        <v>64</v>
      </c>
      <c r="B31" s="80" t="s">
        <v>889</v>
      </c>
      <c r="C31" s="81"/>
      <c r="D31" s="82"/>
      <c r="E31" s="24">
        <f>TRUNC(E28+E29+E30, 0)</f>
        <v>59436364</v>
      </c>
      <c r="F31" s="10" t="s">
        <v>677</v>
      </c>
      <c r="G31" s="10"/>
      <c r="H31" s="22">
        <v>900900</v>
      </c>
      <c r="I31" s="10" t="s">
        <v>889</v>
      </c>
      <c r="J31" s="10" t="s">
        <v>1010</v>
      </c>
      <c r="K31" s="10" t="s">
        <v>422</v>
      </c>
      <c r="L31" s="22">
        <v>0</v>
      </c>
      <c r="M31" s="10" t="s">
        <v>791</v>
      </c>
      <c r="N31" s="10" t="s">
        <v>677</v>
      </c>
      <c r="O31" s="10" t="s">
        <v>17</v>
      </c>
    </row>
    <row r="32" spans="1:15" ht="21.95" customHeight="1" x14ac:dyDescent="0.3">
      <c r="A32" s="10" t="s">
        <v>958</v>
      </c>
      <c r="B32" s="80" t="s">
        <v>266</v>
      </c>
      <c r="C32" s="81"/>
      <c r="D32" s="82"/>
      <c r="E32" s="24">
        <f>TRUNC(E31*0.1, 0)</f>
        <v>5943636</v>
      </c>
      <c r="F32" s="10" t="s">
        <v>496</v>
      </c>
      <c r="G32" s="10"/>
      <c r="H32" s="22">
        <v>900920</v>
      </c>
      <c r="I32" s="10" t="s">
        <v>266</v>
      </c>
      <c r="J32" s="10" t="s">
        <v>355</v>
      </c>
      <c r="K32" s="10" t="s">
        <v>576</v>
      </c>
      <c r="L32" s="22">
        <v>0</v>
      </c>
      <c r="M32" s="10" t="s">
        <v>791</v>
      </c>
      <c r="N32" s="10" t="s">
        <v>677</v>
      </c>
      <c r="O32" s="10" t="s">
        <v>714</v>
      </c>
    </row>
    <row r="33" spans="1:15" ht="21.95" customHeight="1" x14ac:dyDescent="0.3">
      <c r="A33" s="10" t="s">
        <v>490</v>
      </c>
      <c r="B33" s="80" t="s">
        <v>759</v>
      </c>
      <c r="C33" s="81"/>
      <c r="D33" s="82"/>
      <c r="E33" s="24">
        <f>TRUNC(E31+E32, 0)</f>
        <v>65380000</v>
      </c>
      <c r="F33" s="10" t="s">
        <v>677</v>
      </c>
      <c r="G33" s="10" t="s">
        <v>1297</v>
      </c>
      <c r="H33" s="22">
        <v>900990</v>
      </c>
      <c r="I33" s="10" t="s">
        <v>759</v>
      </c>
      <c r="J33" s="10" t="s">
        <v>1010</v>
      </c>
      <c r="K33" s="10" t="s">
        <v>481</v>
      </c>
      <c r="L33" s="22">
        <v>0</v>
      </c>
      <c r="M33" s="10" t="s">
        <v>791</v>
      </c>
      <c r="N33" s="10" t="s">
        <v>677</v>
      </c>
      <c r="O33" s="10" t="s">
        <v>230</v>
      </c>
    </row>
    <row r="34" spans="1:15" ht="21.95" hidden="1" customHeight="1" x14ac:dyDescent="0.3">
      <c r="A34" s="10" t="s">
        <v>934</v>
      </c>
      <c r="B34" s="80" t="s">
        <v>516</v>
      </c>
      <c r="C34" s="81"/>
      <c r="D34" s="82"/>
      <c r="E34" s="24">
        <f>TRUNC(0, 0)</f>
        <v>0</v>
      </c>
      <c r="F34" s="10" t="s">
        <v>237</v>
      </c>
      <c r="G34" s="10" t="s">
        <v>677</v>
      </c>
      <c r="H34" s="22">
        <v>1001010</v>
      </c>
      <c r="I34" s="10" t="s">
        <v>516</v>
      </c>
      <c r="J34" s="10" t="s">
        <v>1010</v>
      </c>
      <c r="K34" s="10" t="s">
        <v>677</v>
      </c>
      <c r="L34" s="22">
        <v>0</v>
      </c>
      <c r="M34" s="10" t="s">
        <v>677</v>
      </c>
      <c r="N34" s="10" t="s">
        <v>677</v>
      </c>
      <c r="O34" s="10" t="s">
        <v>509</v>
      </c>
    </row>
    <row r="35" spans="1:15" ht="21.95" customHeight="1" x14ac:dyDescent="0.3">
      <c r="A35" s="10" t="s">
        <v>350</v>
      </c>
      <c r="B35" s="80" t="s">
        <v>181</v>
      </c>
      <c r="C35" s="81"/>
      <c r="D35" s="82"/>
      <c r="E35" s="24">
        <f>공종별집계표!L14</f>
        <v>145341000</v>
      </c>
      <c r="F35" s="10" t="s">
        <v>237</v>
      </c>
      <c r="G35" s="10" t="s">
        <v>1297</v>
      </c>
      <c r="H35" s="22">
        <v>1001020</v>
      </c>
      <c r="I35" s="10" t="s">
        <v>181</v>
      </c>
      <c r="J35" s="10" t="s">
        <v>1010</v>
      </c>
      <c r="K35" s="10" t="s">
        <v>677</v>
      </c>
      <c r="L35" s="22">
        <v>0</v>
      </c>
      <c r="M35" s="10" t="s">
        <v>677</v>
      </c>
      <c r="N35" s="10" t="s">
        <v>677</v>
      </c>
      <c r="O35" s="10" t="s">
        <v>629</v>
      </c>
    </row>
    <row r="36" spans="1:15" ht="21.95" customHeight="1" x14ac:dyDescent="0.3">
      <c r="A36" s="10" t="s">
        <v>697</v>
      </c>
      <c r="B36" s="80" t="s">
        <v>888</v>
      </c>
      <c r="C36" s="81"/>
      <c r="D36" s="82"/>
      <c r="E36" s="24">
        <f>TRUNC(E33+E34+E35, -3)</f>
        <v>210721000</v>
      </c>
      <c r="F36" s="10" t="s">
        <v>677</v>
      </c>
      <c r="G36" s="10" t="s">
        <v>1297</v>
      </c>
      <c r="H36" s="22">
        <v>1001100</v>
      </c>
      <c r="I36" s="10" t="s">
        <v>888</v>
      </c>
      <c r="J36" s="10" t="s">
        <v>1010</v>
      </c>
      <c r="K36" s="10" t="s">
        <v>365</v>
      </c>
      <c r="L36" s="22">
        <v>0</v>
      </c>
      <c r="M36" s="10" t="s">
        <v>791</v>
      </c>
      <c r="N36" s="10" t="s">
        <v>677</v>
      </c>
      <c r="O36" s="10" t="s">
        <v>118</v>
      </c>
    </row>
  </sheetData>
  <mergeCells count="17">
    <mergeCell ref="A1:G1"/>
    <mergeCell ref="A2:E2"/>
    <mergeCell ref="B3:D3"/>
    <mergeCell ref="B4:B27"/>
    <mergeCell ref="C4:C7"/>
    <mergeCell ref="C8:C10"/>
    <mergeCell ref="C11:C27"/>
    <mergeCell ref="B33:D33"/>
    <mergeCell ref="B34:D34"/>
    <mergeCell ref="B35:D35"/>
    <mergeCell ref="B36:D36"/>
    <mergeCell ref="F2:G2"/>
    <mergeCell ref="B28:D28"/>
    <mergeCell ref="B29:D29"/>
    <mergeCell ref="B30:D30"/>
    <mergeCell ref="B31:D31"/>
    <mergeCell ref="B32:D32"/>
  </mergeCells>
  <phoneticPr fontId="12" type="noConversion"/>
  <pageMargins left="0.78740157480314954" right="0" top="0.39370078740157477" bottom="0.37735849056603776" header="0" footer="0"/>
  <pageSetup paperSize="9" scale="6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Q29"/>
  <sheetViews>
    <sheetView view="pageBreakPreview" zoomScaleNormal="85" zoomScaleSheetLayoutView="100" workbookViewId="0">
      <selection activeCell="L15" sqref="L15"/>
    </sheetView>
  </sheetViews>
  <sheetFormatPr defaultColWidth="9.125"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17" width="9.125" hidden="1"/>
  </cols>
  <sheetData>
    <row r="1" spans="1:16" ht="28.5" customHeight="1" x14ac:dyDescent="0.3">
      <c r="A1" s="84" t="s">
        <v>997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6" ht="28.5" customHeight="1" x14ac:dyDescent="0.3">
      <c r="A2" s="85" t="s">
        <v>1218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6" ht="28.5" customHeight="1" x14ac:dyDescent="0.3">
      <c r="A3" s="92" t="s">
        <v>886</v>
      </c>
      <c r="B3" s="92" t="s">
        <v>29</v>
      </c>
      <c r="C3" s="92" t="s">
        <v>812</v>
      </c>
      <c r="D3" s="92" t="s">
        <v>484</v>
      </c>
      <c r="E3" s="86" t="s">
        <v>732</v>
      </c>
      <c r="F3" s="88"/>
      <c r="G3" s="86" t="s">
        <v>580</v>
      </c>
      <c r="H3" s="88"/>
      <c r="I3" s="86" t="s">
        <v>572</v>
      </c>
      <c r="J3" s="88"/>
      <c r="K3" s="86" t="s">
        <v>813</v>
      </c>
      <c r="L3" s="88"/>
      <c r="M3" s="92" t="s">
        <v>493</v>
      </c>
    </row>
    <row r="4" spans="1:16" ht="28.5" customHeight="1" x14ac:dyDescent="0.3">
      <c r="A4" s="93"/>
      <c r="B4" s="93"/>
      <c r="C4" s="93"/>
      <c r="D4" s="93"/>
      <c r="E4" s="20" t="s">
        <v>847</v>
      </c>
      <c r="F4" s="20" t="s">
        <v>1016</v>
      </c>
      <c r="G4" s="20" t="s">
        <v>847</v>
      </c>
      <c r="H4" s="20" t="s">
        <v>1016</v>
      </c>
      <c r="I4" s="20" t="s">
        <v>847</v>
      </c>
      <c r="J4" s="20" t="s">
        <v>1016</v>
      </c>
      <c r="K4" s="20" t="s">
        <v>847</v>
      </c>
      <c r="L4" s="20" t="s">
        <v>1016</v>
      </c>
      <c r="M4" s="93"/>
    </row>
    <row r="5" spans="1:16" ht="28.5" customHeight="1" x14ac:dyDescent="0.3">
      <c r="A5" s="10" t="s">
        <v>332</v>
      </c>
      <c r="B5" s="10"/>
      <c r="C5" s="10"/>
      <c r="D5" s="22">
        <v>1</v>
      </c>
      <c r="E5" s="24">
        <f>F6+F8+F9+F10+F11+F7+F12</f>
        <v>23668415</v>
      </c>
      <c r="F5" s="24">
        <f t="shared" ref="F5:F16" si="0">D5*E5</f>
        <v>23668415</v>
      </c>
      <c r="G5" s="24">
        <f>H6+H8+H9+H10+H11+H7+H12</f>
        <v>14125598</v>
      </c>
      <c r="H5" s="24">
        <f t="shared" ref="H5:H16" si="1">D5*G5</f>
        <v>14125598</v>
      </c>
      <c r="I5" s="24">
        <f>J6+J8+J9+J10+J11+J7+J12</f>
        <v>951267</v>
      </c>
      <c r="J5" s="24">
        <f>D5*I5</f>
        <v>951267</v>
      </c>
      <c r="K5" s="24">
        <f t="shared" ref="K5:K16" si="2">E5+G5+I5</f>
        <v>38745280</v>
      </c>
      <c r="L5" s="24">
        <f t="shared" ref="L5:L16" si="3">F5+H5+J5</f>
        <v>38745280</v>
      </c>
      <c r="M5" s="10"/>
      <c r="N5" s="25" t="s">
        <v>578</v>
      </c>
      <c r="O5" s="28">
        <v>100000</v>
      </c>
      <c r="P5" s="7"/>
    </row>
    <row r="6" spans="1:16" ht="28.5" customHeight="1" x14ac:dyDescent="0.3">
      <c r="A6" s="10" t="s">
        <v>250</v>
      </c>
      <c r="B6" s="10"/>
      <c r="C6" s="10"/>
      <c r="D6" s="22">
        <v>1</v>
      </c>
      <c r="E6" s="24">
        <f>공종별내역서!F30</f>
        <v>450000</v>
      </c>
      <c r="F6" s="24">
        <f t="shared" si="0"/>
        <v>450000</v>
      </c>
      <c r="G6" s="24">
        <f>공종별내역서!H30</f>
        <v>55320</v>
      </c>
      <c r="H6" s="24">
        <f t="shared" si="1"/>
        <v>55320</v>
      </c>
      <c r="I6" s="24">
        <f>공종별내역서!J30</f>
        <v>587132</v>
      </c>
      <c r="J6" s="24">
        <f t="shared" ref="J5:J16" si="4">D6*I6</f>
        <v>587132</v>
      </c>
      <c r="K6" s="24">
        <f t="shared" si="2"/>
        <v>1092452</v>
      </c>
      <c r="L6" s="24">
        <f t="shared" si="3"/>
        <v>1092452</v>
      </c>
      <c r="M6" s="10"/>
      <c r="N6" s="25" t="s">
        <v>324</v>
      </c>
      <c r="O6" s="28">
        <v>200000</v>
      </c>
      <c r="P6" s="7"/>
    </row>
    <row r="7" spans="1:16" ht="28.5" customHeight="1" x14ac:dyDescent="0.3">
      <c r="A7" s="10" t="s">
        <v>830</v>
      </c>
      <c r="B7" s="10"/>
      <c r="C7" s="10"/>
      <c r="D7" s="22">
        <v>1</v>
      </c>
      <c r="E7" s="24">
        <f>공종별내역서!F56</f>
        <v>130242</v>
      </c>
      <c r="F7" s="24">
        <f t="shared" si="0"/>
        <v>130242</v>
      </c>
      <c r="G7" s="24">
        <f>공종별내역서!H56</f>
        <v>4197466</v>
      </c>
      <c r="H7" s="24">
        <f t="shared" si="1"/>
        <v>4197466</v>
      </c>
      <c r="I7" s="24">
        <f>공종별내역서!J56</f>
        <v>16742</v>
      </c>
      <c r="J7" s="24">
        <f t="shared" si="4"/>
        <v>16742</v>
      </c>
      <c r="K7" s="24">
        <f t="shared" si="2"/>
        <v>4344450</v>
      </c>
      <c r="L7" s="24">
        <f t="shared" si="3"/>
        <v>4344450</v>
      </c>
      <c r="M7" s="10"/>
      <c r="N7" s="25" t="s">
        <v>974</v>
      </c>
      <c r="O7" s="28">
        <v>210000</v>
      </c>
      <c r="P7" s="7"/>
    </row>
    <row r="8" spans="1:16" ht="28.5" customHeight="1" x14ac:dyDescent="0.3">
      <c r="A8" s="10" t="s">
        <v>816</v>
      </c>
      <c r="B8" s="10"/>
      <c r="C8" s="10"/>
      <c r="D8" s="22">
        <v>1</v>
      </c>
      <c r="E8" s="24">
        <f>공종별내역서!F81</f>
        <v>2116176</v>
      </c>
      <c r="F8" s="24">
        <f t="shared" si="0"/>
        <v>2116176</v>
      </c>
      <c r="G8" s="24">
        <f>공종별내역서!H81</f>
        <v>1958846</v>
      </c>
      <c r="H8" s="24">
        <f t="shared" si="1"/>
        <v>1958846</v>
      </c>
      <c r="I8" s="24">
        <f>공종별내역서!J81</f>
        <v>233056</v>
      </c>
      <c r="J8" s="24">
        <f t="shared" si="4"/>
        <v>233056</v>
      </c>
      <c r="K8" s="24">
        <f t="shared" si="2"/>
        <v>4308078</v>
      </c>
      <c r="L8" s="24">
        <f t="shared" si="3"/>
        <v>4308078</v>
      </c>
      <c r="M8" s="10"/>
      <c r="N8" s="25" t="s">
        <v>169</v>
      </c>
      <c r="O8" s="28">
        <v>300000</v>
      </c>
      <c r="P8" s="7"/>
    </row>
    <row r="9" spans="1:16" ht="28.5" customHeight="1" x14ac:dyDescent="0.3">
      <c r="A9" s="10" t="s">
        <v>1273</v>
      </c>
      <c r="B9" s="10"/>
      <c r="C9" s="10"/>
      <c r="D9" s="22">
        <v>1</v>
      </c>
      <c r="E9" s="24">
        <f>공종별내역서!F106</f>
        <v>3323751</v>
      </c>
      <c r="F9" s="24">
        <f t="shared" si="0"/>
        <v>3323751</v>
      </c>
      <c r="G9" s="24">
        <f>공종별내역서!H106</f>
        <v>1850428</v>
      </c>
      <c r="H9" s="24">
        <f t="shared" si="1"/>
        <v>1850428</v>
      </c>
      <c r="I9" s="24">
        <f>공종별내역서!J106</f>
        <v>20436</v>
      </c>
      <c r="J9" s="24">
        <f t="shared" si="4"/>
        <v>20436</v>
      </c>
      <c r="K9" s="24">
        <f t="shared" si="2"/>
        <v>5194615</v>
      </c>
      <c r="L9" s="24">
        <f t="shared" si="3"/>
        <v>5194615</v>
      </c>
      <c r="M9" s="10"/>
      <c r="N9" s="25" t="s">
        <v>469</v>
      </c>
      <c r="O9" s="28">
        <v>400000</v>
      </c>
      <c r="P9" s="7"/>
    </row>
    <row r="10" spans="1:16" ht="28.5" customHeight="1" x14ac:dyDescent="0.3">
      <c r="A10" s="10" t="s">
        <v>736</v>
      </c>
      <c r="B10" s="10"/>
      <c r="C10" s="10"/>
      <c r="D10" s="22">
        <v>1</v>
      </c>
      <c r="E10" s="24">
        <f>공종별내역서!F130</f>
        <v>14976194</v>
      </c>
      <c r="F10" s="24">
        <f t="shared" si="0"/>
        <v>14976194</v>
      </c>
      <c r="G10" s="24">
        <f>공종별내역서!H130</f>
        <v>3019179</v>
      </c>
      <c r="H10" s="24">
        <f t="shared" si="1"/>
        <v>3019179</v>
      </c>
      <c r="I10" s="24">
        <f>공종별내역서!J130</f>
        <v>0</v>
      </c>
      <c r="J10" s="24">
        <f t="shared" si="4"/>
        <v>0</v>
      </c>
      <c r="K10" s="24">
        <f t="shared" si="2"/>
        <v>17995373</v>
      </c>
      <c r="L10" s="24">
        <f>F10+H10+J10</f>
        <v>17995373</v>
      </c>
      <c r="M10" s="10"/>
      <c r="N10" s="25" t="s">
        <v>213</v>
      </c>
      <c r="O10" s="28">
        <v>500000</v>
      </c>
      <c r="P10" s="7"/>
    </row>
    <row r="11" spans="1:16" ht="28.5" customHeight="1" x14ac:dyDescent="0.3">
      <c r="A11" s="10" t="s">
        <v>113</v>
      </c>
      <c r="B11" s="10"/>
      <c r="C11" s="10"/>
      <c r="D11" s="22">
        <v>1</v>
      </c>
      <c r="E11" s="24">
        <f>공종별내역서!F156</f>
        <v>2090136</v>
      </c>
      <c r="F11" s="24">
        <f t="shared" si="0"/>
        <v>2090136</v>
      </c>
      <c r="G11" s="24">
        <f>공종별내역서!H156</f>
        <v>2927351</v>
      </c>
      <c r="H11" s="24">
        <f t="shared" si="1"/>
        <v>2927351</v>
      </c>
      <c r="I11" s="24">
        <f>공종별내역서!J156</f>
        <v>93901</v>
      </c>
      <c r="J11" s="24">
        <f t="shared" si="4"/>
        <v>93901</v>
      </c>
      <c r="K11" s="24">
        <f t="shared" si="2"/>
        <v>5111388</v>
      </c>
      <c r="L11" s="24">
        <f>F11+H11+J11</f>
        <v>5111388</v>
      </c>
      <c r="M11" s="10"/>
      <c r="N11" s="25" t="s">
        <v>247</v>
      </c>
      <c r="O11" s="28">
        <v>600000</v>
      </c>
      <c r="P11" s="7"/>
    </row>
    <row r="12" spans="1:16" ht="28.5" customHeight="1" x14ac:dyDescent="0.3">
      <c r="A12" s="10" t="s">
        <v>381</v>
      </c>
      <c r="B12" s="10"/>
      <c r="C12" s="10"/>
      <c r="D12" s="22">
        <v>1</v>
      </c>
      <c r="E12" s="24">
        <f>공종별내역서!F182</f>
        <v>581916</v>
      </c>
      <c r="F12" s="24">
        <f t="shared" si="0"/>
        <v>581916</v>
      </c>
      <c r="G12" s="24">
        <f>공종별내역서!H182</f>
        <v>117008</v>
      </c>
      <c r="H12" s="24">
        <f t="shared" si="1"/>
        <v>117008</v>
      </c>
      <c r="I12" s="24">
        <f>공종별내역서!J182</f>
        <v>0</v>
      </c>
      <c r="J12" s="24">
        <f t="shared" si="4"/>
        <v>0</v>
      </c>
      <c r="K12" s="24">
        <f t="shared" si="2"/>
        <v>698924</v>
      </c>
      <c r="L12" s="24">
        <f t="shared" si="3"/>
        <v>698924</v>
      </c>
      <c r="M12" s="10"/>
      <c r="N12" s="25" t="s">
        <v>683</v>
      </c>
      <c r="O12" s="28">
        <v>700000</v>
      </c>
      <c r="P12" s="7"/>
    </row>
    <row r="13" spans="1:16" ht="28.5" customHeight="1" x14ac:dyDescent="0.3">
      <c r="A13" s="10" t="s">
        <v>12</v>
      </c>
      <c r="B13" s="10"/>
      <c r="C13" s="10"/>
      <c r="D13" s="22">
        <v>1</v>
      </c>
      <c r="E13" s="24">
        <f>공종별내역서!F208</f>
        <v>0</v>
      </c>
      <c r="F13" s="24">
        <f t="shared" si="0"/>
        <v>0</v>
      </c>
      <c r="G13" s="24">
        <f>공종별내역서!H208</f>
        <v>338076</v>
      </c>
      <c r="H13" s="24">
        <f t="shared" si="1"/>
        <v>338076</v>
      </c>
      <c r="I13" s="24">
        <f>공종별내역서!J208</f>
        <v>1107762</v>
      </c>
      <c r="J13" s="24">
        <f t="shared" si="4"/>
        <v>1107762</v>
      </c>
      <c r="K13" s="24">
        <f t="shared" si="2"/>
        <v>1445838</v>
      </c>
      <c r="L13" s="24">
        <f>F13+H13+J13</f>
        <v>1445838</v>
      </c>
      <c r="M13" s="10" t="s">
        <v>1150</v>
      </c>
      <c r="N13" s="25" t="s">
        <v>719</v>
      </c>
      <c r="O13" s="28">
        <v>800000</v>
      </c>
      <c r="P13" s="7"/>
    </row>
    <row r="14" spans="1:16" ht="28.5" customHeight="1" x14ac:dyDescent="0.3">
      <c r="A14" s="10" t="s">
        <v>393</v>
      </c>
      <c r="B14" s="10"/>
      <c r="C14" s="10"/>
      <c r="D14" s="22">
        <v>1</v>
      </c>
      <c r="E14" s="24">
        <f>공종별내역서!F235</f>
        <v>145341000</v>
      </c>
      <c r="F14" s="24">
        <f t="shared" si="0"/>
        <v>145341000</v>
      </c>
      <c r="G14" s="24">
        <f>공종별내역서!H235</f>
        <v>0</v>
      </c>
      <c r="H14" s="24">
        <f t="shared" si="1"/>
        <v>0</v>
      </c>
      <c r="I14" s="24">
        <f>공종별내역서!J235</f>
        <v>0</v>
      </c>
      <c r="J14" s="24">
        <f t="shared" si="4"/>
        <v>0</v>
      </c>
      <c r="K14" s="24">
        <f t="shared" si="2"/>
        <v>145341000</v>
      </c>
      <c r="L14" s="24">
        <f>F14+H14+J14</f>
        <v>145341000</v>
      </c>
      <c r="M14" s="10" t="s">
        <v>1150</v>
      </c>
      <c r="N14" s="25" t="s">
        <v>382</v>
      </c>
      <c r="O14" s="28">
        <v>810000</v>
      </c>
      <c r="P14" s="7"/>
    </row>
    <row r="15" spans="1:16" ht="28.5" customHeight="1" x14ac:dyDescent="0.3">
      <c r="A15" s="10" t="s">
        <v>584</v>
      </c>
      <c r="B15" s="10"/>
      <c r="C15" s="10"/>
      <c r="D15" s="22">
        <v>1</v>
      </c>
      <c r="E15" s="24">
        <f>공종별내역서!F261</f>
        <v>0</v>
      </c>
      <c r="F15" s="24">
        <f t="shared" si="0"/>
        <v>0</v>
      </c>
      <c r="G15" s="24">
        <f>공종별내역서!H261</f>
        <v>0</v>
      </c>
      <c r="H15" s="24">
        <f t="shared" si="1"/>
        <v>0</v>
      </c>
      <c r="I15" s="24">
        <f>공종별내역서!J261</f>
        <v>578000</v>
      </c>
      <c r="J15" s="24">
        <f t="shared" si="4"/>
        <v>578000</v>
      </c>
      <c r="K15" s="24">
        <f t="shared" si="2"/>
        <v>578000</v>
      </c>
      <c r="L15" s="24">
        <f t="shared" si="3"/>
        <v>578000</v>
      </c>
      <c r="M15" s="10" t="s">
        <v>1150</v>
      </c>
      <c r="N15" s="25" t="s">
        <v>866</v>
      </c>
      <c r="O15" s="28">
        <v>900000</v>
      </c>
      <c r="P15" s="7"/>
    </row>
    <row r="16" spans="1:16" ht="28.5" customHeight="1" x14ac:dyDescent="0.3">
      <c r="A16" s="10" t="s">
        <v>30</v>
      </c>
      <c r="B16" s="10"/>
      <c r="C16" s="10"/>
      <c r="D16" s="22">
        <v>1</v>
      </c>
      <c r="E16" s="24">
        <f>공종별내역서!F287</f>
        <v>0</v>
      </c>
      <c r="F16" s="24">
        <f t="shared" si="0"/>
        <v>0</v>
      </c>
      <c r="G16" s="24">
        <f>공종별내역서!H287</f>
        <v>0</v>
      </c>
      <c r="H16" s="24">
        <f t="shared" si="1"/>
        <v>0</v>
      </c>
      <c r="I16" s="24">
        <f>공종별내역서!J287</f>
        <v>3586721</v>
      </c>
      <c r="J16" s="24">
        <f t="shared" si="4"/>
        <v>3586721</v>
      </c>
      <c r="K16" s="24">
        <f t="shared" si="2"/>
        <v>3586721</v>
      </c>
      <c r="L16" s="24">
        <f t="shared" si="3"/>
        <v>3586721</v>
      </c>
      <c r="M16" s="10" t="s">
        <v>1150</v>
      </c>
      <c r="N16" s="25" t="s">
        <v>307</v>
      </c>
      <c r="O16" s="28">
        <v>1000000</v>
      </c>
      <c r="P16" s="7"/>
    </row>
    <row r="17" spans="1:13" ht="28.5" customHeight="1" x14ac:dyDescent="0.3">
      <c r="A17" s="10" t="s">
        <v>677</v>
      </c>
      <c r="B17" s="10" t="s">
        <v>677</v>
      </c>
      <c r="C17" s="10" t="s">
        <v>677</v>
      </c>
      <c r="D17" s="10" t="s">
        <v>677</v>
      </c>
      <c r="E17" s="10" t="s">
        <v>677</v>
      </c>
      <c r="F17" s="10" t="s">
        <v>677</v>
      </c>
      <c r="G17" s="10" t="s">
        <v>677</v>
      </c>
      <c r="H17" s="10" t="s">
        <v>677</v>
      </c>
      <c r="I17" s="10" t="s">
        <v>677</v>
      </c>
      <c r="J17" s="10" t="s">
        <v>677</v>
      </c>
      <c r="K17" s="10" t="s">
        <v>677</v>
      </c>
      <c r="L17" s="10" t="s">
        <v>677</v>
      </c>
      <c r="M17" s="10" t="s">
        <v>677</v>
      </c>
    </row>
    <row r="18" spans="1:13" ht="28.5" customHeight="1" x14ac:dyDescent="0.3">
      <c r="A18" s="10" t="s">
        <v>677</v>
      </c>
      <c r="B18" s="10" t="s">
        <v>677</v>
      </c>
      <c r="C18" s="10" t="s">
        <v>677</v>
      </c>
      <c r="D18" s="10" t="s">
        <v>677</v>
      </c>
      <c r="E18" s="10" t="s">
        <v>677</v>
      </c>
      <c r="F18" s="10" t="s">
        <v>677</v>
      </c>
      <c r="G18" s="10" t="s">
        <v>677</v>
      </c>
      <c r="H18" s="10" t="s">
        <v>677</v>
      </c>
      <c r="I18" s="10" t="s">
        <v>677</v>
      </c>
      <c r="J18" s="10" t="s">
        <v>677</v>
      </c>
      <c r="K18" s="10" t="s">
        <v>677</v>
      </c>
      <c r="L18" s="10" t="s">
        <v>677</v>
      </c>
      <c r="M18" s="10" t="s">
        <v>677</v>
      </c>
    </row>
    <row r="19" spans="1:13" ht="28.5" customHeight="1" x14ac:dyDescent="0.3">
      <c r="A19" s="10" t="s">
        <v>677</v>
      </c>
      <c r="B19" s="10" t="s">
        <v>677</v>
      </c>
      <c r="C19" s="10" t="s">
        <v>677</v>
      </c>
      <c r="D19" s="10" t="s">
        <v>677</v>
      </c>
      <c r="E19" s="10" t="s">
        <v>677</v>
      </c>
      <c r="F19" s="10" t="s">
        <v>677</v>
      </c>
      <c r="G19" s="10" t="s">
        <v>677</v>
      </c>
      <c r="H19" s="10" t="s">
        <v>677</v>
      </c>
      <c r="I19" s="10" t="s">
        <v>677</v>
      </c>
      <c r="J19" s="10" t="s">
        <v>677</v>
      </c>
      <c r="K19" s="10" t="s">
        <v>677</v>
      </c>
      <c r="L19" s="10" t="s">
        <v>677</v>
      </c>
      <c r="M19" s="10" t="s">
        <v>677</v>
      </c>
    </row>
    <row r="20" spans="1:13" ht="28.5" customHeight="1" x14ac:dyDescent="0.3">
      <c r="A20" s="10" t="s">
        <v>677</v>
      </c>
      <c r="B20" s="10" t="s">
        <v>677</v>
      </c>
      <c r="C20" s="10" t="s">
        <v>677</v>
      </c>
      <c r="D20" s="10" t="s">
        <v>677</v>
      </c>
      <c r="E20" s="10" t="s">
        <v>677</v>
      </c>
      <c r="F20" s="10" t="s">
        <v>677</v>
      </c>
      <c r="G20" s="10" t="s">
        <v>677</v>
      </c>
      <c r="H20" s="10" t="s">
        <v>677</v>
      </c>
      <c r="I20" s="10" t="s">
        <v>677</v>
      </c>
      <c r="J20" s="10" t="s">
        <v>677</v>
      </c>
      <c r="K20" s="10" t="s">
        <v>677</v>
      </c>
      <c r="L20" s="10" t="s">
        <v>677</v>
      </c>
      <c r="M20" s="10" t="s">
        <v>677</v>
      </c>
    </row>
    <row r="21" spans="1:13" ht="28.5" customHeight="1" x14ac:dyDescent="0.3">
      <c r="A21" s="10" t="s">
        <v>677</v>
      </c>
      <c r="B21" s="10" t="s">
        <v>677</v>
      </c>
      <c r="C21" s="10" t="s">
        <v>677</v>
      </c>
      <c r="D21" s="10" t="s">
        <v>677</v>
      </c>
      <c r="E21" s="10" t="s">
        <v>677</v>
      </c>
      <c r="F21" s="10" t="s">
        <v>677</v>
      </c>
      <c r="G21" s="10" t="s">
        <v>677</v>
      </c>
      <c r="H21" s="10" t="s">
        <v>677</v>
      </c>
      <c r="I21" s="10" t="s">
        <v>677</v>
      </c>
      <c r="J21" s="10" t="s">
        <v>677</v>
      </c>
      <c r="K21" s="10" t="s">
        <v>677</v>
      </c>
      <c r="L21" s="10" t="s">
        <v>677</v>
      </c>
      <c r="M21" s="10" t="s">
        <v>677</v>
      </c>
    </row>
    <row r="22" spans="1:13" ht="28.5" customHeight="1" x14ac:dyDescent="0.3">
      <c r="A22" s="10" t="s">
        <v>677</v>
      </c>
      <c r="B22" s="10" t="s">
        <v>677</v>
      </c>
      <c r="C22" s="10" t="s">
        <v>677</v>
      </c>
      <c r="D22" s="10" t="s">
        <v>677</v>
      </c>
      <c r="E22" s="10" t="s">
        <v>677</v>
      </c>
      <c r="F22" s="10" t="s">
        <v>677</v>
      </c>
      <c r="G22" s="10" t="s">
        <v>677</v>
      </c>
      <c r="H22" s="10" t="s">
        <v>677</v>
      </c>
      <c r="I22" s="10" t="s">
        <v>677</v>
      </c>
      <c r="J22" s="10" t="s">
        <v>677</v>
      </c>
      <c r="K22" s="10" t="s">
        <v>677</v>
      </c>
      <c r="L22" s="10" t="s">
        <v>677</v>
      </c>
      <c r="M22" s="10" t="s">
        <v>677</v>
      </c>
    </row>
    <row r="23" spans="1:13" ht="28.5" customHeight="1" x14ac:dyDescent="0.3">
      <c r="A23" s="10" t="s">
        <v>677</v>
      </c>
      <c r="B23" s="10" t="s">
        <v>677</v>
      </c>
      <c r="C23" s="10" t="s">
        <v>677</v>
      </c>
      <c r="D23" s="10" t="s">
        <v>677</v>
      </c>
      <c r="E23" s="10" t="s">
        <v>677</v>
      </c>
      <c r="F23" s="10" t="s">
        <v>677</v>
      </c>
      <c r="G23" s="10" t="s">
        <v>677</v>
      </c>
      <c r="H23" s="10" t="s">
        <v>677</v>
      </c>
      <c r="I23" s="10" t="s">
        <v>677</v>
      </c>
      <c r="J23" s="10" t="s">
        <v>677</v>
      </c>
      <c r="K23" s="10" t="s">
        <v>677</v>
      </c>
      <c r="L23" s="10" t="s">
        <v>677</v>
      </c>
      <c r="M23" s="10" t="s">
        <v>677</v>
      </c>
    </row>
    <row r="24" spans="1:13" ht="28.5" customHeight="1" x14ac:dyDescent="0.3">
      <c r="A24" s="10" t="s">
        <v>677</v>
      </c>
      <c r="B24" s="10" t="s">
        <v>677</v>
      </c>
      <c r="C24" s="10" t="s">
        <v>677</v>
      </c>
      <c r="D24" s="10" t="s">
        <v>677</v>
      </c>
      <c r="E24" s="10" t="s">
        <v>677</v>
      </c>
      <c r="F24" s="10" t="s">
        <v>677</v>
      </c>
      <c r="G24" s="10" t="s">
        <v>677</v>
      </c>
      <c r="H24" s="10" t="s">
        <v>677</v>
      </c>
      <c r="I24" s="10" t="s">
        <v>677</v>
      </c>
      <c r="J24" s="10" t="s">
        <v>677</v>
      </c>
      <c r="K24" s="10" t="s">
        <v>677</v>
      </c>
      <c r="L24" s="10" t="s">
        <v>677</v>
      </c>
      <c r="M24" s="10" t="s">
        <v>677</v>
      </c>
    </row>
    <row r="25" spans="1:13" ht="28.5" customHeight="1" x14ac:dyDescent="0.3">
      <c r="A25" s="10" t="s">
        <v>677</v>
      </c>
      <c r="B25" s="10" t="s">
        <v>677</v>
      </c>
      <c r="C25" s="10" t="s">
        <v>677</v>
      </c>
      <c r="D25" s="10" t="s">
        <v>677</v>
      </c>
      <c r="E25" s="10" t="s">
        <v>677</v>
      </c>
      <c r="F25" s="10" t="s">
        <v>677</v>
      </c>
      <c r="G25" s="10" t="s">
        <v>677</v>
      </c>
      <c r="H25" s="10" t="s">
        <v>677</v>
      </c>
      <c r="I25" s="10" t="s">
        <v>677</v>
      </c>
      <c r="J25" s="10" t="s">
        <v>677</v>
      </c>
      <c r="K25" s="10" t="s">
        <v>677</v>
      </c>
      <c r="L25" s="10" t="s">
        <v>677</v>
      </c>
      <c r="M25" s="10" t="s">
        <v>677</v>
      </c>
    </row>
    <row r="26" spans="1:13" ht="28.5" customHeight="1" x14ac:dyDescent="0.3">
      <c r="A26" s="10" t="s">
        <v>677</v>
      </c>
      <c r="B26" s="10" t="s">
        <v>677</v>
      </c>
      <c r="C26" s="10" t="s">
        <v>677</v>
      </c>
      <c r="D26" s="10" t="s">
        <v>677</v>
      </c>
      <c r="E26" s="10" t="s">
        <v>677</v>
      </c>
      <c r="F26" s="10" t="s">
        <v>677</v>
      </c>
      <c r="G26" s="10" t="s">
        <v>677</v>
      </c>
      <c r="H26" s="10" t="s">
        <v>677</v>
      </c>
      <c r="I26" s="10" t="s">
        <v>677</v>
      </c>
      <c r="J26" s="10" t="s">
        <v>677</v>
      </c>
      <c r="K26" s="10" t="s">
        <v>677</v>
      </c>
      <c r="L26" s="10" t="s">
        <v>677</v>
      </c>
      <c r="M26" s="10" t="s">
        <v>677</v>
      </c>
    </row>
    <row r="27" spans="1:13" ht="28.5" customHeight="1" x14ac:dyDescent="0.3">
      <c r="A27" s="10" t="s">
        <v>677</v>
      </c>
      <c r="B27" s="10" t="s">
        <v>677</v>
      </c>
      <c r="C27" s="10" t="s">
        <v>677</v>
      </c>
      <c r="D27" s="10" t="s">
        <v>677</v>
      </c>
      <c r="E27" s="10" t="s">
        <v>677</v>
      </c>
      <c r="F27" s="10" t="s">
        <v>677</v>
      </c>
      <c r="G27" s="10" t="s">
        <v>677</v>
      </c>
      <c r="H27" s="10" t="s">
        <v>677</v>
      </c>
      <c r="I27" s="10" t="s">
        <v>677</v>
      </c>
      <c r="J27" s="10" t="s">
        <v>677</v>
      </c>
      <c r="K27" s="10" t="s">
        <v>677</v>
      </c>
      <c r="L27" s="10" t="s">
        <v>677</v>
      </c>
      <c r="M27" s="10" t="s">
        <v>677</v>
      </c>
    </row>
    <row r="28" spans="1:13" ht="28.5" customHeight="1" x14ac:dyDescent="0.3">
      <c r="A28" s="10" t="s">
        <v>677</v>
      </c>
      <c r="B28" s="10" t="s">
        <v>677</v>
      </c>
      <c r="C28" s="10" t="s">
        <v>677</v>
      </c>
      <c r="D28" s="10" t="s">
        <v>677</v>
      </c>
      <c r="E28" s="10" t="s">
        <v>677</v>
      </c>
      <c r="F28" s="10" t="s">
        <v>677</v>
      </c>
      <c r="G28" s="10" t="s">
        <v>677</v>
      </c>
      <c r="H28" s="10" t="s">
        <v>677</v>
      </c>
      <c r="I28" s="10" t="s">
        <v>677</v>
      </c>
      <c r="J28" s="10" t="s">
        <v>677</v>
      </c>
      <c r="K28" s="10" t="s">
        <v>677</v>
      </c>
      <c r="L28" s="10" t="s">
        <v>677</v>
      </c>
      <c r="M28" s="10" t="s">
        <v>677</v>
      </c>
    </row>
    <row r="29" spans="1:13" ht="28.5" customHeight="1" x14ac:dyDescent="0.3">
      <c r="A29" s="10" t="s">
        <v>109</v>
      </c>
      <c r="B29" s="10" t="s">
        <v>677</v>
      </c>
      <c r="C29" s="10" t="s">
        <v>677</v>
      </c>
      <c r="D29" s="10" t="s">
        <v>677</v>
      </c>
      <c r="E29" s="10" t="s">
        <v>677</v>
      </c>
      <c r="F29" s="24">
        <f>F5</f>
        <v>23668415</v>
      </c>
      <c r="G29" s="10" t="s">
        <v>677</v>
      </c>
      <c r="H29" s="24">
        <f>H5</f>
        <v>14125598</v>
      </c>
      <c r="I29" s="10" t="s">
        <v>677</v>
      </c>
      <c r="J29" s="24">
        <f>J5</f>
        <v>951267</v>
      </c>
      <c r="K29" s="10" t="s">
        <v>677</v>
      </c>
      <c r="L29" s="24">
        <f>L5</f>
        <v>38745280</v>
      </c>
      <c r="M29" s="10" t="s">
        <v>677</v>
      </c>
    </row>
  </sheetData>
  <mergeCells count="11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12" type="noConversion"/>
  <pageMargins left="0.78740157480314954" right="0" top="0.39370078740157477" bottom="0.37735849056603776" header="0" footer="0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W287"/>
  <sheetViews>
    <sheetView view="pageBreakPreview" topLeftCell="A222" zoomScale="85" zoomScaleNormal="100" zoomScaleSheetLayoutView="85" workbookViewId="0">
      <selection activeCell="AW146" sqref="AW146"/>
    </sheetView>
  </sheetViews>
  <sheetFormatPr defaultColWidth="9.125"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8" width="9.125" hidden="1" customWidth="1"/>
  </cols>
  <sheetData>
    <row r="1" spans="1:49" ht="30" customHeight="1" x14ac:dyDescent="0.3">
      <c r="A1" s="84" t="s">
        <v>194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</row>
    <row r="2" spans="1:49" ht="28.5" customHeight="1" x14ac:dyDescent="0.3">
      <c r="A2" s="85" t="s">
        <v>1218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</row>
    <row r="3" spans="1:49" ht="28.5" customHeight="1" x14ac:dyDescent="0.3">
      <c r="A3" s="92" t="s">
        <v>886</v>
      </c>
      <c r="B3" s="92" t="s">
        <v>29</v>
      </c>
      <c r="C3" s="92" t="s">
        <v>812</v>
      </c>
      <c r="D3" s="92" t="s">
        <v>484</v>
      </c>
      <c r="E3" s="86" t="s">
        <v>732</v>
      </c>
      <c r="F3" s="88"/>
      <c r="G3" s="86" t="s">
        <v>580</v>
      </c>
      <c r="H3" s="88"/>
      <c r="I3" s="86" t="s">
        <v>572</v>
      </c>
      <c r="J3" s="88"/>
      <c r="K3" s="86" t="s">
        <v>813</v>
      </c>
      <c r="L3" s="88"/>
      <c r="M3" s="92" t="s">
        <v>493</v>
      </c>
      <c r="N3" s="95" t="s">
        <v>721</v>
      </c>
      <c r="O3" s="94" t="s">
        <v>668</v>
      </c>
      <c r="P3" s="94" t="s">
        <v>844</v>
      </c>
      <c r="Q3" s="94" t="s">
        <v>140</v>
      </c>
      <c r="R3" s="94" t="s">
        <v>542</v>
      </c>
      <c r="S3" s="94" t="s">
        <v>792</v>
      </c>
      <c r="T3" s="94" t="s">
        <v>782</v>
      </c>
      <c r="U3" s="94" t="s">
        <v>949</v>
      </c>
      <c r="V3" s="94" t="s">
        <v>715</v>
      </c>
      <c r="W3" s="94" t="s">
        <v>90</v>
      </c>
      <c r="X3" s="94" t="s">
        <v>785</v>
      </c>
      <c r="Y3" s="94" t="s">
        <v>626</v>
      </c>
      <c r="Z3" s="94" t="s">
        <v>471</v>
      </c>
      <c r="AA3" s="94" t="s">
        <v>692</v>
      </c>
      <c r="AB3" s="94" t="s">
        <v>296</v>
      </c>
      <c r="AC3" s="94" t="s">
        <v>1028</v>
      </c>
      <c r="AD3" s="94" t="s">
        <v>253</v>
      </c>
      <c r="AE3" s="94" t="s">
        <v>147</v>
      </c>
      <c r="AF3" s="94" t="s">
        <v>445</v>
      </c>
      <c r="AG3" s="94" t="s">
        <v>593</v>
      </c>
      <c r="AH3" s="94" t="s">
        <v>309</v>
      </c>
      <c r="AI3" s="94" t="s">
        <v>225</v>
      </c>
      <c r="AJ3" s="94" t="s">
        <v>857</v>
      </c>
      <c r="AK3" s="94" t="s">
        <v>285</v>
      </c>
      <c r="AL3" s="94" t="s">
        <v>712</v>
      </c>
      <c r="AM3" s="94" t="s">
        <v>906</v>
      </c>
      <c r="AN3" s="94" t="s">
        <v>143</v>
      </c>
      <c r="AO3" s="94" t="s">
        <v>466</v>
      </c>
      <c r="AP3" s="94" t="s">
        <v>128</v>
      </c>
      <c r="AQ3" s="94" t="s">
        <v>321</v>
      </c>
      <c r="AR3" s="94" t="s">
        <v>196</v>
      </c>
      <c r="AS3" s="94" t="s">
        <v>730</v>
      </c>
      <c r="AT3" s="94" t="s">
        <v>92</v>
      </c>
      <c r="AU3" s="94" t="s">
        <v>163</v>
      </c>
      <c r="AV3" s="94" t="s">
        <v>602</v>
      </c>
      <c r="AW3" s="92" t="s">
        <v>746</v>
      </c>
    </row>
    <row r="4" spans="1:49" ht="28.5" customHeight="1" x14ac:dyDescent="0.3">
      <c r="A4" s="93"/>
      <c r="B4" s="93"/>
      <c r="C4" s="93"/>
      <c r="D4" s="93"/>
      <c r="E4" s="20" t="s">
        <v>847</v>
      </c>
      <c r="F4" s="20" t="s">
        <v>1016</v>
      </c>
      <c r="G4" s="20" t="s">
        <v>847</v>
      </c>
      <c r="H4" s="20" t="s">
        <v>1016</v>
      </c>
      <c r="I4" s="20" t="s">
        <v>847</v>
      </c>
      <c r="J4" s="20" t="s">
        <v>1016</v>
      </c>
      <c r="K4" s="20" t="s">
        <v>847</v>
      </c>
      <c r="L4" s="20" t="s">
        <v>1016</v>
      </c>
      <c r="M4" s="93"/>
      <c r="N4" s="95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3"/>
    </row>
    <row r="5" spans="1:49" ht="28.5" customHeight="1" x14ac:dyDescent="0.3">
      <c r="A5" s="10" t="s">
        <v>250</v>
      </c>
      <c r="B5" s="10"/>
      <c r="C5" s="10"/>
      <c r="D5" s="10" t="s">
        <v>677</v>
      </c>
      <c r="E5" s="10" t="s">
        <v>677</v>
      </c>
      <c r="F5" s="10" t="s">
        <v>677</v>
      </c>
      <c r="G5" s="10" t="s">
        <v>677</v>
      </c>
      <c r="H5" s="10" t="s">
        <v>677</v>
      </c>
      <c r="I5" s="10" t="s">
        <v>677</v>
      </c>
      <c r="J5" s="10" t="s">
        <v>677</v>
      </c>
      <c r="K5" s="10" t="s">
        <v>677</v>
      </c>
      <c r="L5" s="10" t="s">
        <v>677</v>
      </c>
      <c r="M5" s="10" t="s">
        <v>677</v>
      </c>
      <c r="N5" s="5" t="s">
        <v>677</v>
      </c>
      <c r="Q5" s="7" t="s">
        <v>324</v>
      </c>
      <c r="R5" s="28">
        <v>200000</v>
      </c>
      <c r="S5" s="28">
        <v>0</v>
      </c>
      <c r="AH5" s="7"/>
      <c r="AW5" s="10" t="s">
        <v>677</v>
      </c>
    </row>
    <row r="6" spans="1:49" ht="28.5" customHeight="1" x14ac:dyDescent="0.3">
      <c r="A6" s="10" t="s">
        <v>1014</v>
      </c>
      <c r="B6" s="10" t="s">
        <v>921</v>
      </c>
      <c r="C6" s="10" t="s">
        <v>434</v>
      </c>
      <c r="D6" s="22">
        <v>1</v>
      </c>
      <c r="E6" s="1">
        <f>ROUNDDOWN(ROUNDDOWN(일위대가목록!E4,0)*AV6/100,0)</f>
        <v>0</v>
      </c>
      <c r="F6" s="1">
        <f t="shared" ref="F6:F29" si="0">ROUNDDOWN(D6*E6,0)</f>
        <v>0</v>
      </c>
      <c r="G6" s="1">
        <f>ROUNDDOWN(ROUNDDOWN(일위대가목록!F4,0)*AV6/100,0)</f>
        <v>0</v>
      </c>
      <c r="H6" s="1">
        <f t="shared" ref="H6:H29" si="1">ROUNDDOWN(D6*G6,0)</f>
        <v>0</v>
      </c>
      <c r="I6" s="1">
        <f>ROUNDDOWN(ROUNDDOWN(일위대가목록!G4,0)*AV6/100,0)</f>
        <v>587132</v>
      </c>
      <c r="J6" s="1">
        <f t="shared" ref="J6:J29" si="2">ROUNDDOWN(D6*I6,0)</f>
        <v>587132</v>
      </c>
      <c r="K6" s="1">
        <f t="shared" ref="K6:K29" si="3">ROUNDDOWN(E6+G6+I6,0)</f>
        <v>587132</v>
      </c>
      <c r="L6" s="1">
        <f t="shared" ref="L6:L29" si="4">ROUNDDOWN(F6+H6+J6,0)</f>
        <v>587132</v>
      </c>
      <c r="M6" s="10" t="s">
        <v>677</v>
      </c>
      <c r="N6" s="2" t="str">
        <f>HYPERLINK("#일위대가목록!A4", "AAB215100010")</f>
        <v>AAB215100010</v>
      </c>
      <c r="O6" s="7" t="s">
        <v>677</v>
      </c>
      <c r="P6" s="7" t="s">
        <v>677</v>
      </c>
      <c r="Q6" s="7" t="s">
        <v>324</v>
      </c>
      <c r="R6" s="28">
        <v>200000</v>
      </c>
      <c r="S6" s="28">
        <v>10</v>
      </c>
      <c r="T6" s="7" t="s">
        <v>731</v>
      </c>
      <c r="U6" s="7" t="s">
        <v>399</v>
      </c>
      <c r="V6" s="7" t="s">
        <v>399</v>
      </c>
      <c r="W6" s="7" t="s">
        <v>677</v>
      </c>
      <c r="X6" s="28">
        <v>0</v>
      </c>
      <c r="Y6" s="28">
        <v>0</v>
      </c>
      <c r="Z6" s="28">
        <v>0</v>
      </c>
      <c r="AA6" s="28">
        <v>0</v>
      </c>
      <c r="AB6" s="28">
        <v>0</v>
      </c>
      <c r="AC6" s="28">
        <v>0</v>
      </c>
      <c r="AD6" s="28">
        <v>0</v>
      </c>
      <c r="AE6" s="28">
        <v>0</v>
      </c>
      <c r="AF6" s="28">
        <v>0</v>
      </c>
      <c r="AG6" s="28">
        <v>0</v>
      </c>
      <c r="AH6" s="28">
        <v>0</v>
      </c>
      <c r="AI6" s="28">
        <v>2</v>
      </c>
      <c r="AJ6" s="28">
        <v>0</v>
      </c>
      <c r="AK6" s="28">
        <v>0</v>
      </c>
      <c r="AL6" s="28">
        <v>0</v>
      </c>
      <c r="AM6" s="28">
        <v>0</v>
      </c>
      <c r="AN6" s="28">
        <v>0</v>
      </c>
      <c r="AO6" s="28">
        <v>0</v>
      </c>
      <c r="AP6" s="28">
        <v>0</v>
      </c>
      <c r="AQ6" s="28">
        <v>0</v>
      </c>
      <c r="AR6" s="28">
        <v>0</v>
      </c>
      <c r="AS6" s="28">
        <v>0</v>
      </c>
      <c r="AT6" s="28">
        <v>0</v>
      </c>
      <c r="AU6" s="7" t="s">
        <v>677</v>
      </c>
      <c r="AV6" s="28">
        <v>100</v>
      </c>
      <c r="AW6" s="3" t="s">
        <v>515</v>
      </c>
    </row>
    <row r="7" spans="1:49" ht="28.5" customHeight="1" x14ac:dyDescent="0.3">
      <c r="A7" s="10" t="s">
        <v>256</v>
      </c>
      <c r="B7" s="10" t="s">
        <v>677</v>
      </c>
      <c r="C7" s="10" t="s">
        <v>801</v>
      </c>
      <c r="D7" s="22">
        <v>3</v>
      </c>
      <c r="E7" s="1">
        <f>ROUNDDOWN(ROUNDDOWN(일위대가목록!E5,0)*AV7/100,0)</f>
        <v>150000</v>
      </c>
      <c r="F7" s="1">
        <f t="shared" si="0"/>
        <v>450000</v>
      </c>
      <c r="G7" s="1">
        <f>ROUNDDOWN(ROUNDDOWN(일위대가목록!F5,0)*AV7/100,0)</f>
        <v>18440</v>
      </c>
      <c r="H7" s="1">
        <f t="shared" si="1"/>
        <v>55320</v>
      </c>
      <c r="I7" s="1">
        <f>ROUNDDOWN(ROUNDDOWN(일위대가목록!G5,0)*AV7/100,0)</f>
        <v>0</v>
      </c>
      <c r="J7" s="1">
        <f t="shared" si="2"/>
        <v>0</v>
      </c>
      <c r="K7" s="1">
        <f t="shared" si="3"/>
        <v>168440</v>
      </c>
      <c r="L7" s="1">
        <f t="shared" si="4"/>
        <v>505320</v>
      </c>
      <c r="M7" s="10"/>
      <c r="N7" s="2" t="str">
        <f>HYPERLINK("#일위대가목록!A5", "RAB21010010S")</f>
        <v>RAB21010010S</v>
      </c>
      <c r="O7" s="7" t="s">
        <v>677</v>
      </c>
      <c r="P7" s="7" t="s">
        <v>677</v>
      </c>
      <c r="Q7" s="7" t="s">
        <v>324</v>
      </c>
      <c r="R7" s="28">
        <v>200000</v>
      </c>
      <c r="S7" s="28">
        <v>20</v>
      </c>
      <c r="T7" s="7" t="s">
        <v>731</v>
      </c>
      <c r="U7" s="7" t="s">
        <v>399</v>
      </c>
      <c r="V7" s="7" t="s">
        <v>399</v>
      </c>
      <c r="W7" s="7" t="s">
        <v>677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2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7" t="s">
        <v>677</v>
      </c>
      <c r="AV7" s="28">
        <v>100</v>
      </c>
      <c r="AW7" s="3" t="s">
        <v>693</v>
      </c>
    </row>
    <row r="8" spans="1:49" ht="28.5" customHeight="1" x14ac:dyDescent="0.3">
      <c r="A8" s="10" t="s">
        <v>677</v>
      </c>
      <c r="B8" s="10" t="s">
        <v>677</v>
      </c>
      <c r="C8" s="10" t="s">
        <v>677</v>
      </c>
      <c r="D8" s="1">
        <v>0</v>
      </c>
      <c r="E8" s="1">
        <v>0</v>
      </c>
      <c r="F8" s="1">
        <f t="shared" si="0"/>
        <v>0</v>
      </c>
      <c r="G8" s="1">
        <v>0</v>
      </c>
      <c r="H8" s="1">
        <f t="shared" si="1"/>
        <v>0</v>
      </c>
      <c r="I8" s="1">
        <v>0</v>
      </c>
      <c r="J8" s="1">
        <f t="shared" si="2"/>
        <v>0</v>
      </c>
      <c r="K8" s="1">
        <f t="shared" si="3"/>
        <v>0</v>
      </c>
      <c r="L8" s="1">
        <f t="shared" si="4"/>
        <v>0</v>
      </c>
      <c r="M8" s="10" t="s">
        <v>677</v>
      </c>
      <c r="N8" s="10" t="s">
        <v>677</v>
      </c>
      <c r="O8" s="10" t="s">
        <v>677</v>
      </c>
      <c r="P8" s="10" t="s">
        <v>677</v>
      </c>
      <c r="AU8" s="7"/>
      <c r="AV8" s="28">
        <v>0</v>
      </c>
      <c r="AW8" s="3" t="s">
        <v>677</v>
      </c>
    </row>
    <row r="9" spans="1:49" ht="28.5" customHeight="1" x14ac:dyDescent="0.3">
      <c r="A9" s="10" t="s">
        <v>677</v>
      </c>
      <c r="B9" s="10" t="s">
        <v>677</v>
      </c>
      <c r="C9" s="10" t="s">
        <v>677</v>
      </c>
      <c r="D9" s="1">
        <v>0</v>
      </c>
      <c r="E9" s="1">
        <v>0</v>
      </c>
      <c r="F9" s="1">
        <f t="shared" si="0"/>
        <v>0</v>
      </c>
      <c r="G9" s="1">
        <v>0</v>
      </c>
      <c r="H9" s="1">
        <f t="shared" si="1"/>
        <v>0</v>
      </c>
      <c r="I9" s="1">
        <v>0</v>
      </c>
      <c r="J9" s="1">
        <f t="shared" si="2"/>
        <v>0</v>
      </c>
      <c r="K9" s="1">
        <f t="shared" si="3"/>
        <v>0</v>
      </c>
      <c r="L9" s="1">
        <f t="shared" si="4"/>
        <v>0</v>
      </c>
      <c r="M9" s="10" t="s">
        <v>677</v>
      </c>
      <c r="N9" s="10" t="s">
        <v>677</v>
      </c>
      <c r="O9" s="10" t="s">
        <v>677</v>
      </c>
      <c r="P9" s="10" t="s">
        <v>677</v>
      </c>
      <c r="AU9" s="7"/>
      <c r="AV9" s="28">
        <v>0</v>
      </c>
      <c r="AW9" s="3" t="s">
        <v>677</v>
      </c>
    </row>
    <row r="10" spans="1:49" ht="28.5" customHeight="1" x14ac:dyDescent="0.3">
      <c r="A10" s="10" t="s">
        <v>677</v>
      </c>
      <c r="B10" s="10" t="s">
        <v>677</v>
      </c>
      <c r="C10" s="10" t="s">
        <v>677</v>
      </c>
      <c r="D10" s="1">
        <v>0</v>
      </c>
      <c r="E10" s="1">
        <v>0</v>
      </c>
      <c r="F10" s="1">
        <f t="shared" si="0"/>
        <v>0</v>
      </c>
      <c r="G10" s="1">
        <v>0</v>
      </c>
      <c r="H10" s="1">
        <f t="shared" si="1"/>
        <v>0</v>
      </c>
      <c r="I10" s="1">
        <v>0</v>
      </c>
      <c r="J10" s="1">
        <f t="shared" si="2"/>
        <v>0</v>
      </c>
      <c r="K10" s="1">
        <f t="shared" si="3"/>
        <v>0</v>
      </c>
      <c r="L10" s="1">
        <f t="shared" si="4"/>
        <v>0</v>
      </c>
      <c r="M10" s="10" t="s">
        <v>677</v>
      </c>
      <c r="N10" s="10" t="s">
        <v>677</v>
      </c>
      <c r="O10" s="10" t="s">
        <v>677</v>
      </c>
      <c r="P10" s="10" t="s">
        <v>677</v>
      </c>
      <c r="AU10" s="7"/>
      <c r="AV10" s="28">
        <v>0</v>
      </c>
      <c r="AW10" s="3" t="s">
        <v>677</v>
      </c>
    </row>
    <row r="11" spans="1:49" ht="28.5" customHeight="1" x14ac:dyDescent="0.3">
      <c r="A11" s="10" t="s">
        <v>677</v>
      </c>
      <c r="B11" s="10" t="s">
        <v>677</v>
      </c>
      <c r="C11" s="10" t="s">
        <v>677</v>
      </c>
      <c r="D11" s="1">
        <v>0</v>
      </c>
      <c r="E11" s="1">
        <v>0</v>
      </c>
      <c r="F11" s="1">
        <f t="shared" si="0"/>
        <v>0</v>
      </c>
      <c r="G11" s="1">
        <v>0</v>
      </c>
      <c r="H11" s="1">
        <f t="shared" si="1"/>
        <v>0</v>
      </c>
      <c r="I11" s="1">
        <v>0</v>
      </c>
      <c r="J11" s="1">
        <f t="shared" si="2"/>
        <v>0</v>
      </c>
      <c r="K11" s="1">
        <f t="shared" si="3"/>
        <v>0</v>
      </c>
      <c r="L11" s="1">
        <f t="shared" si="4"/>
        <v>0</v>
      </c>
      <c r="M11" s="10" t="s">
        <v>677</v>
      </c>
      <c r="N11" s="10" t="s">
        <v>677</v>
      </c>
      <c r="O11" s="10" t="s">
        <v>677</v>
      </c>
      <c r="P11" s="10" t="s">
        <v>677</v>
      </c>
      <c r="AU11" s="7"/>
      <c r="AV11" s="28">
        <v>0</v>
      </c>
      <c r="AW11" s="3" t="s">
        <v>677</v>
      </c>
    </row>
    <row r="12" spans="1:49" ht="28.5" customHeight="1" x14ac:dyDescent="0.3">
      <c r="A12" s="10" t="s">
        <v>677</v>
      </c>
      <c r="B12" s="10" t="s">
        <v>677</v>
      </c>
      <c r="C12" s="10" t="s">
        <v>677</v>
      </c>
      <c r="D12" s="1">
        <v>0</v>
      </c>
      <c r="E12" s="1">
        <v>0</v>
      </c>
      <c r="F12" s="1">
        <f t="shared" si="0"/>
        <v>0</v>
      </c>
      <c r="G12" s="1">
        <v>0</v>
      </c>
      <c r="H12" s="1">
        <f t="shared" si="1"/>
        <v>0</v>
      </c>
      <c r="I12" s="1">
        <v>0</v>
      </c>
      <c r="J12" s="1">
        <f t="shared" si="2"/>
        <v>0</v>
      </c>
      <c r="K12" s="1">
        <f t="shared" si="3"/>
        <v>0</v>
      </c>
      <c r="L12" s="1">
        <f t="shared" si="4"/>
        <v>0</v>
      </c>
      <c r="M12" s="10" t="s">
        <v>677</v>
      </c>
      <c r="N12" s="10" t="s">
        <v>677</v>
      </c>
      <c r="O12" s="10" t="s">
        <v>677</v>
      </c>
      <c r="P12" s="10" t="s">
        <v>677</v>
      </c>
      <c r="AU12" s="7"/>
      <c r="AV12" s="28">
        <v>0</v>
      </c>
      <c r="AW12" s="3" t="s">
        <v>677</v>
      </c>
    </row>
    <row r="13" spans="1:49" ht="28.5" customHeight="1" x14ac:dyDescent="0.3">
      <c r="A13" s="10" t="s">
        <v>677</v>
      </c>
      <c r="B13" s="10" t="s">
        <v>677</v>
      </c>
      <c r="C13" s="10" t="s">
        <v>677</v>
      </c>
      <c r="D13" s="1">
        <v>0</v>
      </c>
      <c r="E13" s="1">
        <v>0</v>
      </c>
      <c r="F13" s="1">
        <f t="shared" si="0"/>
        <v>0</v>
      </c>
      <c r="G13" s="1">
        <v>0</v>
      </c>
      <c r="H13" s="1">
        <f t="shared" si="1"/>
        <v>0</v>
      </c>
      <c r="I13" s="1">
        <v>0</v>
      </c>
      <c r="J13" s="1">
        <f t="shared" si="2"/>
        <v>0</v>
      </c>
      <c r="K13" s="1">
        <f t="shared" si="3"/>
        <v>0</v>
      </c>
      <c r="L13" s="1">
        <f t="shared" si="4"/>
        <v>0</v>
      </c>
      <c r="M13" s="10" t="s">
        <v>677</v>
      </c>
      <c r="N13" s="10" t="s">
        <v>677</v>
      </c>
      <c r="O13" s="10" t="s">
        <v>677</v>
      </c>
      <c r="P13" s="10" t="s">
        <v>677</v>
      </c>
      <c r="AU13" s="7"/>
      <c r="AV13" s="28">
        <v>0</v>
      </c>
      <c r="AW13" s="3" t="s">
        <v>677</v>
      </c>
    </row>
    <row r="14" spans="1:49" ht="28.5" customHeight="1" x14ac:dyDescent="0.3">
      <c r="A14" s="10" t="s">
        <v>677</v>
      </c>
      <c r="B14" s="10" t="s">
        <v>677</v>
      </c>
      <c r="C14" s="10" t="s">
        <v>677</v>
      </c>
      <c r="D14" s="1">
        <v>0</v>
      </c>
      <c r="E14" s="1">
        <v>0</v>
      </c>
      <c r="F14" s="1">
        <f t="shared" si="0"/>
        <v>0</v>
      </c>
      <c r="G14" s="1">
        <v>0</v>
      </c>
      <c r="H14" s="1">
        <f t="shared" si="1"/>
        <v>0</v>
      </c>
      <c r="I14" s="1">
        <v>0</v>
      </c>
      <c r="J14" s="1">
        <f t="shared" si="2"/>
        <v>0</v>
      </c>
      <c r="K14" s="1">
        <f t="shared" si="3"/>
        <v>0</v>
      </c>
      <c r="L14" s="1">
        <f t="shared" si="4"/>
        <v>0</v>
      </c>
      <c r="M14" s="10" t="s">
        <v>677</v>
      </c>
      <c r="N14" s="10" t="s">
        <v>677</v>
      </c>
      <c r="O14" s="10" t="s">
        <v>677</v>
      </c>
      <c r="P14" s="10" t="s">
        <v>677</v>
      </c>
      <c r="AU14" s="7"/>
      <c r="AV14" s="28">
        <v>0</v>
      </c>
      <c r="AW14" s="3" t="s">
        <v>677</v>
      </c>
    </row>
    <row r="15" spans="1:49" ht="28.5" customHeight="1" x14ac:dyDescent="0.3">
      <c r="A15" s="10" t="s">
        <v>677</v>
      </c>
      <c r="B15" s="10" t="s">
        <v>677</v>
      </c>
      <c r="C15" s="10" t="s">
        <v>677</v>
      </c>
      <c r="D15" s="1">
        <v>0</v>
      </c>
      <c r="E15" s="1">
        <v>0</v>
      </c>
      <c r="F15" s="1">
        <f t="shared" si="0"/>
        <v>0</v>
      </c>
      <c r="G15" s="1">
        <v>0</v>
      </c>
      <c r="H15" s="1">
        <f t="shared" si="1"/>
        <v>0</v>
      </c>
      <c r="I15" s="1">
        <v>0</v>
      </c>
      <c r="J15" s="1">
        <f t="shared" si="2"/>
        <v>0</v>
      </c>
      <c r="K15" s="1">
        <f t="shared" si="3"/>
        <v>0</v>
      </c>
      <c r="L15" s="1">
        <f t="shared" si="4"/>
        <v>0</v>
      </c>
      <c r="M15" s="10" t="s">
        <v>677</v>
      </c>
      <c r="N15" s="10" t="s">
        <v>677</v>
      </c>
      <c r="O15" s="10" t="s">
        <v>677</v>
      </c>
      <c r="P15" s="10" t="s">
        <v>677</v>
      </c>
      <c r="AU15" s="7"/>
      <c r="AV15" s="28">
        <v>0</v>
      </c>
      <c r="AW15" s="3" t="s">
        <v>677</v>
      </c>
    </row>
    <row r="16" spans="1:49" ht="28.5" customHeight="1" x14ac:dyDescent="0.3">
      <c r="A16" s="10" t="s">
        <v>677</v>
      </c>
      <c r="B16" s="10" t="s">
        <v>677</v>
      </c>
      <c r="C16" s="10" t="s">
        <v>677</v>
      </c>
      <c r="D16" s="1">
        <v>0</v>
      </c>
      <c r="E16" s="1">
        <v>0</v>
      </c>
      <c r="F16" s="1">
        <f t="shared" si="0"/>
        <v>0</v>
      </c>
      <c r="G16" s="1">
        <v>0</v>
      </c>
      <c r="H16" s="1">
        <f t="shared" si="1"/>
        <v>0</v>
      </c>
      <c r="I16" s="1">
        <v>0</v>
      </c>
      <c r="J16" s="1">
        <f t="shared" si="2"/>
        <v>0</v>
      </c>
      <c r="K16" s="1">
        <f t="shared" si="3"/>
        <v>0</v>
      </c>
      <c r="L16" s="1">
        <f t="shared" si="4"/>
        <v>0</v>
      </c>
      <c r="M16" s="10" t="s">
        <v>677</v>
      </c>
      <c r="N16" s="10" t="s">
        <v>677</v>
      </c>
      <c r="O16" s="10" t="s">
        <v>677</v>
      </c>
      <c r="P16" s="10" t="s">
        <v>677</v>
      </c>
      <c r="AU16" s="7"/>
      <c r="AV16" s="28">
        <v>0</v>
      </c>
      <c r="AW16" s="3" t="s">
        <v>677</v>
      </c>
    </row>
    <row r="17" spans="1:49" ht="28.5" customHeight="1" x14ac:dyDescent="0.3">
      <c r="A17" s="10" t="s">
        <v>677</v>
      </c>
      <c r="B17" s="10" t="s">
        <v>677</v>
      </c>
      <c r="C17" s="10" t="s">
        <v>677</v>
      </c>
      <c r="D17" s="1">
        <v>0</v>
      </c>
      <c r="E17" s="1">
        <v>0</v>
      </c>
      <c r="F17" s="1">
        <f t="shared" si="0"/>
        <v>0</v>
      </c>
      <c r="G17" s="1">
        <v>0</v>
      </c>
      <c r="H17" s="1">
        <f t="shared" si="1"/>
        <v>0</v>
      </c>
      <c r="I17" s="1">
        <v>0</v>
      </c>
      <c r="J17" s="1">
        <f t="shared" si="2"/>
        <v>0</v>
      </c>
      <c r="K17" s="1">
        <f t="shared" si="3"/>
        <v>0</v>
      </c>
      <c r="L17" s="1">
        <f t="shared" si="4"/>
        <v>0</v>
      </c>
      <c r="M17" s="10" t="s">
        <v>677</v>
      </c>
      <c r="N17" s="10" t="s">
        <v>677</v>
      </c>
      <c r="O17" s="10" t="s">
        <v>677</v>
      </c>
      <c r="P17" s="10" t="s">
        <v>677</v>
      </c>
      <c r="AU17" s="7"/>
      <c r="AV17" s="28">
        <v>0</v>
      </c>
      <c r="AW17" s="3" t="s">
        <v>677</v>
      </c>
    </row>
    <row r="18" spans="1:49" ht="28.5" customHeight="1" x14ac:dyDescent="0.3">
      <c r="A18" s="10" t="s">
        <v>677</v>
      </c>
      <c r="B18" s="10" t="s">
        <v>677</v>
      </c>
      <c r="C18" s="10" t="s">
        <v>677</v>
      </c>
      <c r="D18" s="1">
        <v>0</v>
      </c>
      <c r="E18" s="1">
        <v>0</v>
      </c>
      <c r="F18" s="1">
        <f t="shared" si="0"/>
        <v>0</v>
      </c>
      <c r="G18" s="1">
        <v>0</v>
      </c>
      <c r="H18" s="1">
        <f t="shared" si="1"/>
        <v>0</v>
      </c>
      <c r="I18" s="1">
        <v>0</v>
      </c>
      <c r="J18" s="1">
        <f t="shared" si="2"/>
        <v>0</v>
      </c>
      <c r="K18" s="1">
        <f t="shared" si="3"/>
        <v>0</v>
      </c>
      <c r="L18" s="1">
        <f t="shared" si="4"/>
        <v>0</v>
      </c>
      <c r="M18" s="10" t="s">
        <v>677</v>
      </c>
      <c r="N18" s="10" t="s">
        <v>677</v>
      </c>
      <c r="O18" s="10" t="s">
        <v>677</v>
      </c>
      <c r="P18" s="10" t="s">
        <v>677</v>
      </c>
      <c r="AU18" s="7"/>
      <c r="AV18" s="28">
        <v>0</v>
      </c>
      <c r="AW18" s="3" t="s">
        <v>677</v>
      </c>
    </row>
    <row r="19" spans="1:49" ht="28.5" customHeight="1" x14ac:dyDescent="0.3">
      <c r="A19" s="10" t="s">
        <v>677</v>
      </c>
      <c r="B19" s="10" t="s">
        <v>677</v>
      </c>
      <c r="C19" s="10" t="s">
        <v>677</v>
      </c>
      <c r="D19" s="1">
        <v>0</v>
      </c>
      <c r="E19" s="1">
        <v>0</v>
      </c>
      <c r="F19" s="1">
        <f t="shared" si="0"/>
        <v>0</v>
      </c>
      <c r="G19" s="1">
        <v>0</v>
      </c>
      <c r="H19" s="1">
        <f t="shared" si="1"/>
        <v>0</v>
      </c>
      <c r="I19" s="1">
        <v>0</v>
      </c>
      <c r="J19" s="1">
        <f t="shared" si="2"/>
        <v>0</v>
      </c>
      <c r="K19" s="1">
        <f t="shared" si="3"/>
        <v>0</v>
      </c>
      <c r="L19" s="1">
        <f t="shared" si="4"/>
        <v>0</v>
      </c>
      <c r="M19" s="10" t="s">
        <v>677</v>
      </c>
      <c r="N19" s="10" t="s">
        <v>677</v>
      </c>
      <c r="O19" s="10" t="s">
        <v>677</v>
      </c>
      <c r="P19" s="10" t="s">
        <v>677</v>
      </c>
      <c r="AU19" s="7"/>
      <c r="AV19" s="28">
        <v>0</v>
      </c>
      <c r="AW19" s="3" t="s">
        <v>677</v>
      </c>
    </row>
    <row r="20" spans="1:49" ht="28.5" customHeight="1" x14ac:dyDescent="0.3">
      <c r="A20" s="10" t="s">
        <v>677</v>
      </c>
      <c r="B20" s="10" t="s">
        <v>677</v>
      </c>
      <c r="C20" s="10" t="s">
        <v>677</v>
      </c>
      <c r="D20" s="1">
        <v>0</v>
      </c>
      <c r="E20" s="1">
        <v>0</v>
      </c>
      <c r="F20" s="1">
        <f t="shared" si="0"/>
        <v>0</v>
      </c>
      <c r="G20" s="1">
        <v>0</v>
      </c>
      <c r="H20" s="1">
        <f t="shared" si="1"/>
        <v>0</v>
      </c>
      <c r="I20" s="1">
        <v>0</v>
      </c>
      <c r="J20" s="1">
        <f t="shared" si="2"/>
        <v>0</v>
      </c>
      <c r="K20" s="1">
        <f t="shared" si="3"/>
        <v>0</v>
      </c>
      <c r="L20" s="1">
        <f t="shared" si="4"/>
        <v>0</v>
      </c>
      <c r="M20" s="10" t="s">
        <v>677</v>
      </c>
      <c r="N20" s="10" t="s">
        <v>677</v>
      </c>
      <c r="O20" s="10" t="s">
        <v>677</v>
      </c>
      <c r="P20" s="10" t="s">
        <v>677</v>
      </c>
      <c r="AU20" s="7"/>
      <c r="AV20" s="28">
        <v>0</v>
      </c>
      <c r="AW20" s="3" t="s">
        <v>677</v>
      </c>
    </row>
    <row r="21" spans="1:49" ht="28.5" customHeight="1" x14ac:dyDescent="0.3">
      <c r="A21" s="10" t="s">
        <v>677</v>
      </c>
      <c r="B21" s="10" t="s">
        <v>677</v>
      </c>
      <c r="C21" s="10" t="s">
        <v>677</v>
      </c>
      <c r="D21" s="1">
        <v>0</v>
      </c>
      <c r="E21" s="1">
        <v>0</v>
      </c>
      <c r="F21" s="1">
        <f t="shared" si="0"/>
        <v>0</v>
      </c>
      <c r="G21" s="1">
        <v>0</v>
      </c>
      <c r="H21" s="1">
        <f t="shared" si="1"/>
        <v>0</v>
      </c>
      <c r="I21" s="1">
        <v>0</v>
      </c>
      <c r="J21" s="1">
        <f t="shared" si="2"/>
        <v>0</v>
      </c>
      <c r="K21" s="1">
        <f t="shared" si="3"/>
        <v>0</v>
      </c>
      <c r="L21" s="1">
        <f t="shared" si="4"/>
        <v>0</v>
      </c>
      <c r="M21" s="10" t="s">
        <v>677</v>
      </c>
      <c r="N21" s="10" t="s">
        <v>677</v>
      </c>
      <c r="O21" s="10" t="s">
        <v>677</v>
      </c>
      <c r="P21" s="10" t="s">
        <v>677</v>
      </c>
      <c r="AU21" s="7"/>
      <c r="AV21" s="28">
        <v>0</v>
      </c>
      <c r="AW21" s="3" t="s">
        <v>677</v>
      </c>
    </row>
    <row r="22" spans="1:49" ht="28.5" customHeight="1" x14ac:dyDescent="0.3">
      <c r="A22" s="10" t="s">
        <v>677</v>
      </c>
      <c r="B22" s="10" t="s">
        <v>677</v>
      </c>
      <c r="C22" s="10" t="s">
        <v>677</v>
      </c>
      <c r="D22" s="1">
        <v>0</v>
      </c>
      <c r="E22" s="1">
        <v>0</v>
      </c>
      <c r="F22" s="1">
        <f t="shared" si="0"/>
        <v>0</v>
      </c>
      <c r="G22" s="1">
        <v>0</v>
      </c>
      <c r="H22" s="1">
        <f t="shared" si="1"/>
        <v>0</v>
      </c>
      <c r="I22" s="1">
        <v>0</v>
      </c>
      <c r="J22" s="1">
        <f t="shared" si="2"/>
        <v>0</v>
      </c>
      <c r="K22" s="1">
        <f t="shared" si="3"/>
        <v>0</v>
      </c>
      <c r="L22" s="1">
        <f t="shared" si="4"/>
        <v>0</v>
      </c>
      <c r="M22" s="10" t="s">
        <v>677</v>
      </c>
      <c r="N22" s="10" t="s">
        <v>677</v>
      </c>
      <c r="O22" s="10" t="s">
        <v>677</v>
      </c>
      <c r="P22" s="10" t="s">
        <v>677</v>
      </c>
      <c r="AU22" s="7"/>
      <c r="AV22" s="28">
        <v>0</v>
      </c>
      <c r="AW22" s="3" t="s">
        <v>677</v>
      </c>
    </row>
    <row r="23" spans="1:49" ht="28.5" customHeight="1" x14ac:dyDescent="0.3">
      <c r="A23" s="10" t="s">
        <v>677</v>
      </c>
      <c r="B23" s="10" t="s">
        <v>677</v>
      </c>
      <c r="C23" s="10" t="s">
        <v>677</v>
      </c>
      <c r="D23" s="1">
        <v>0</v>
      </c>
      <c r="E23" s="1">
        <v>0</v>
      </c>
      <c r="F23" s="1">
        <f t="shared" si="0"/>
        <v>0</v>
      </c>
      <c r="G23" s="1">
        <v>0</v>
      </c>
      <c r="H23" s="1">
        <f t="shared" si="1"/>
        <v>0</v>
      </c>
      <c r="I23" s="1">
        <v>0</v>
      </c>
      <c r="J23" s="1">
        <f t="shared" si="2"/>
        <v>0</v>
      </c>
      <c r="K23" s="1">
        <f t="shared" si="3"/>
        <v>0</v>
      </c>
      <c r="L23" s="1">
        <f t="shared" si="4"/>
        <v>0</v>
      </c>
      <c r="M23" s="10" t="s">
        <v>677</v>
      </c>
      <c r="N23" s="10" t="s">
        <v>677</v>
      </c>
      <c r="O23" s="10" t="s">
        <v>677</v>
      </c>
      <c r="P23" s="10" t="s">
        <v>677</v>
      </c>
      <c r="AU23" s="7"/>
      <c r="AV23" s="28">
        <v>0</v>
      </c>
      <c r="AW23" s="3" t="s">
        <v>677</v>
      </c>
    </row>
    <row r="24" spans="1:49" ht="28.5" customHeight="1" x14ac:dyDescent="0.3">
      <c r="A24" s="10" t="s">
        <v>677</v>
      </c>
      <c r="B24" s="10" t="s">
        <v>677</v>
      </c>
      <c r="C24" s="10" t="s">
        <v>677</v>
      </c>
      <c r="D24" s="1">
        <v>0</v>
      </c>
      <c r="E24" s="1">
        <v>0</v>
      </c>
      <c r="F24" s="1">
        <f t="shared" si="0"/>
        <v>0</v>
      </c>
      <c r="G24" s="1">
        <v>0</v>
      </c>
      <c r="H24" s="1">
        <f t="shared" si="1"/>
        <v>0</v>
      </c>
      <c r="I24" s="1">
        <v>0</v>
      </c>
      <c r="J24" s="1">
        <f t="shared" si="2"/>
        <v>0</v>
      </c>
      <c r="K24" s="1">
        <f t="shared" si="3"/>
        <v>0</v>
      </c>
      <c r="L24" s="1">
        <f t="shared" si="4"/>
        <v>0</v>
      </c>
      <c r="M24" s="10" t="s">
        <v>677</v>
      </c>
      <c r="N24" s="10" t="s">
        <v>677</v>
      </c>
      <c r="O24" s="10" t="s">
        <v>677</v>
      </c>
      <c r="P24" s="10" t="s">
        <v>677</v>
      </c>
      <c r="AU24" s="7"/>
      <c r="AV24" s="28">
        <v>0</v>
      </c>
      <c r="AW24" s="3" t="s">
        <v>677</v>
      </c>
    </row>
    <row r="25" spans="1:49" ht="28.5" customHeight="1" x14ac:dyDescent="0.3">
      <c r="A25" s="10" t="s">
        <v>677</v>
      </c>
      <c r="B25" s="10" t="s">
        <v>677</v>
      </c>
      <c r="C25" s="10" t="s">
        <v>677</v>
      </c>
      <c r="D25" s="1">
        <v>0</v>
      </c>
      <c r="E25" s="1">
        <v>0</v>
      </c>
      <c r="F25" s="1">
        <f t="shared" si="0"/>
        <v>0</v>
      </c>
      <c r="G25" s="1">
        <v>0</v>
      </c>
      <c r="H25" s="1">
        <f t="shared" si="1"/>
        <v>0</v>
      </c>
      <c r="I25" s="1">
        <v>0</v>
      </c>
      <c r="J25" s="1">
        <f t="shared" si="2"/>
        <v>0</v>
      </c>
      <c r="K25" s="1">
        <f t="shared" si="3"/>
        <v>0</v>
      </c>
      <c r="L25" s="1">
        <f t="shared" si="4"/>
        <v>0</v>
      </c>
      <c r="M25" s="10" t="s">
        <v>677</v>
      </c>
      <c r="N25" s="10" t="s">
        <v>677</v>
      </c>
      <c r="O25" s="10" t="s">
        <v>677</v>
      </c>
      <c r="P25" s="10" t="s">
        <v>677</v>
      </c>
      <c r="AU25" s="7"/>
      <c r="AV25" s="28">
        <v>0</v>
      </c>
      <c r="AW25" s="3" t="s">
        <v>677</v>
      </c>
    </row>
    <row r="26" spans="1:49" ht="28.5" customHeight="1" x14ac:dyDescent="0.3">
      <c r="A26" s="10" t="s">
        <v>677</v>
      </c>
      <c r="B26" s="10" t="s">
        <v>677</v>
      </c>
      <c r="C26" s="10" t="s">
        <v>677</v>
      </c>
      <c r="D26" s="1">
        <v>0</v>
      </c>
      <c r="E26" s="1">
        <v>0</v>
      </c>
      <c r="F26" s="1">
        <f t="shared" si="0"/>
        <v>0</v>
      </c>
      <c r="G26" s="1">
        <v>0</v>
      </c>
      <c r="H26" s="1">
        <f t="shared" si="1"/>
        <v>0</v>
      </c>
      <c r="I26" s="1">
        <v>0</v>
      </c>
      <c r="J26" s="1">
        <f t="shared" si="2"/>
        <v>0</v>
      </c>
      <c r="K26" s="1">
        <f t="shared" si="3"/>
        <v>0</v>
      </c>
      <c r="L26" s="1">
        <f t="shared" si="4"/>
        <v>0</v>
      </c>
      <c r="M26" s="10" t="s">
        <v>677</v>
      </c>
      <c r="N26" s="10" t="s">
        <v>677</v>
      </c>
      <c r="O26" s="10" t="s">
        <v>677</v>
      </c>
      <c r="P26" s="10" t="s">
        <v>677</v>
      </c>
      <c r="AU26" s="7"/>
      <c r="AV26" s="28">
        <v>0</v>
      </c>
      <c r="AW26" s="3" t="s">
        <v>677</v>
      </c>
    </row>
    <row r="27" spans="1:49" ht="28.5" customHeight="1" x14ac:dyDescent="0.3">
      <c r="A27" s="10" t="s">
        <v>677</v>
      </c>
      <c r="B27" s="10" t="s">
        <v>677</v>
      </c>
      <c r="C27" s="10" t="s">
        <v>677</v>
      </c>
      <c r="D27" s="1">
        <v>0</v>
      </c>
      <c r="E27" s="1">
        <v>0</v>
      </c>
      <c r="F27" s="1">
        <f t="shared" si="0"/>
        <v>0</v>
      </c>
      <c r="G27" s="1">
        <v>0</v>
      </c>
      <c r="H27" s="1">
        <f t="shared" si="1"/>
        <v>0</v>
      </c>
      <c r="I27" s="1">
        <v>0</v>
      </c>
      <c r="J27" s="1">
        <f t="shared" si="2"/>
        <v>0</v>
      </c>
      <c r="K27" s="1">
        <f t="shared" si="3"/>
        <v>0</v>
      </c>
      <c r="L27" s="1">
        <f t="shared" si="4"/>
        <v>0</v>
      </c>
      <c r="M27" s="10" t="s">
        <v>677</v>
      </c>
      <c r="N27" s="10" t="s">
        <v>677</v>
      </c>
      <c r="O27" s="10" t="s">
        <v>677</v>
      </c>
      <c r="P27" s="10" t="s">
        <v>677</v>
      </c>
      <c r="AU27" s="7"/>
      <c r="AV27" s="28">
        <v>0</v>
      </c>
      <c r="AW27" s="3" t="s">
        <v>677</v>
      </c>
    </row>
    <row r="28" spans="1:49" ht="28.5" customHeight="1" x14ac:dyDescent="0.3">
      <c r="A28" s="10" t="s">
        <v>677</v>
      </c>
      <c r="B28" s="10" t="s">
        <v>677</v>
      </c>
      <c r="C28" s="10" t="s">
        <v>677</v>
      </c>
      <c r="D28" s="1">
        <v>0</v>
      </c>
      <c r="E28" s="1">
        <v>0</v>
      </c>
      <c r="F28" s="1">
        <f t="shared" si="0"/>
        <v>0</v>
      </c>
      <c r="G28" s="1">
        <v>0</v>
      </c>
      <c r="H28" s="1">
        <f t="shared" si="1"/>
        <v>0</v>
      </c>
      <c r="I28" s="1">
        <v>0</v>
      </c>
      <c r="J28" s="1">
        <f t="shared" si="2"/>
        <v>0</v>
      </c>
      <c r="K28" s="1">
        <f t="shared" si="3"/>
        <v>0</v>
      </c>
      <c r="L28" s="1">
        <f t="shared" si="4"/>
        <v>0</v>
      </c>
      <c r="M28" s="10" t="s">
        <v>677</v>
      </c>
      <c r="N28" s="10" t="s">
        <v>677</v>
      </c>
      <c r="O28" s="10" t="s">
        <v>677</v>
      </c>
      <c r="P28" s="10" t="s">
        <v>677</v>
      </c>
      <c r="AU28" s="7"/>
      <c r="AV28" s="28">
        <v>0</v>
      </c>
      <c r="AW28" s="3" t="s">
        <v>677</v>
      </c>
    </row>
    <row r="29" spans="1:49" ht="28.5" customHeight="1" x14ac:dyDescent="0.3">
      <c r="A29" s="10" t="s">
        <v>677</v>
      </c>
      <c r="B29" s="10" t="s">
        <v>677</v>
      </c>
      <c r="C29" s="10" t="s">
        <v>677</v>
      </c>
      <c r="D29" s="1">
        <v>0</v>
      </c>
      <c r="E29" s="1">
        <v>0</v>
      </c>
      <c r="F29" s="1">
        <f t="shared" si="0"/>
        <v>0</v>
      </c>
      <c r="G29" s="1">
        <v>0</v>
      </c>
      <c r="H29" s="1">
        <f t="shared" si="1"/>
        <v>0</v>
      </c>
      <c r="I29" s="1">
        <v>0</v>
      </c>
      <c r="J29" s="1">
        <f t="shared" si="2"/>
        <v>0</v>
      </c>
      <c r="K29" s="1">
        <f t="shared" si="3"/>
        <v>0</v>
      </c>
      <c r="L29" s="1">
        <f t="shared" si="4"/>
        <v>0</v>
      </c>
      <c r="M29" s="10" t="s">
        <v>677</v>
      </c>
      <c r="N29" s="10" t="s">
        <v>677</v>
      </c>
      <c r="O29" s="10" t="s">
        <v>677</v>
      </c>
      <c r="P29" s="10" t="s">
        <v>677</v>
      </c>
      <c r="AU29" s="7"/>
      <c r="AV29" s="28">
        <v>0</v>
      </c>
      <c r="AW29" s="3" t="s">
        <v>677</v>
      </c>
    </row>
    <row r="30" spans="1:49" ht="28.5" customHeight="1" x14ac:dyDescent="0.3">
      <c r="A30" s="10" t="s">
        <v>109</v>
      </c>
      <c r="B30" s="10" t="s">
        <v>677</v>
      </c>
      <c r="C30" s="10" t="s">
        <v>677</v>
      </c>
      <c r="D30" s="10" t="s">
        <v>677</v>
      </c>
      <c r="E30" s="27">
        <v>0</v>
      </c>
      <c r="F30" s="1">
        <f>TRUNC(SUMIF(Q6:Q29, Q5,F6:F29),0)</f>
        <v>450000</v>
      </c>
      <c r="G30" s="1">
        <v>0</v>
      </c>
      <c r="H30" s="1">
        <f>TRUNC(SUMIF(Q6:Q29, Q5,H6:H29),0)</f>
        <v>55320</v>
      </c>
      <c r="I30" s="1">
        <v>0</v>
      </c>
      <c r="J30" s="1">
        <f>TRUNC(SUMIF(Q6:Q29, Q5,J6:J29),0)</f>
        <v>587132</v>
      </c>
      <c r="K30" s="12" t="s">
        <v>677</v>
      </c>
      <c r="L30" s="1">
        <f>F30+H30+J30</f>
        <v>1092452</v>
      </c>
      <c r="M30" s="10"/>
      <c r="AW30" s="10" t="s">
        <v>677</v>
      </c>
    </row>
    <row r="31" spans="1:49" ht="28.5" customHeight="1" x14ac:dyDescent="0.3">
      <c r="A31" s="10" t="s">
        <v>830</v>
      </c>
      <c r="B31" s="10"/>
      <c r="C31" s="10"/>
      <c r="D31" s="10" t="s">
        <v>677</v>
      </c>
      <c r="E31" s="10" t="s">
        <v>677</v>
      </c>
      <c r="F31" s="10" t="s">
        <v>677</v>
      </c>
      <c r="G31" s="10" t="s">
        <v>677</v>
      </c>
      <c r="H31" s="10" t="s">
        <v>677</v>
      </c>
      <c r="I31" s="10" t="s">
        <v>677</v>
      </c>
      <c r="J31" s="10" t="s">
        <v>677</v>
      </c>
      <c r="K31" s="10" t="s">
        <v>677</v>
      </c>
      <c r="L31" s="10" t="s">
        <v>677</v>
      </c>
      <c r="M31" s="10" t="s">
        <v>677</v>
      </c>
      <c r="N31" s="5" t="s">
        <v>677</v>
      </c>
      <c r="Q31" s="7" t="s">
        <v>974</v>
      </c>
      <c r="R31" s="28">
        <v>210000</v>
      </c>
      <c r="S31" s="28">
        <v>0</v>
      </c>
      <c r="AH31" s="7"/>
      <c r="AW31" s="10" t="s">
        <v>677</v>
      </c>
    </row>
    <row r="32" spans="1:49" ht="28.5" customHeight="1" x14ac:dyDescent="0.3">
      <c r="A32" s="10" t="s">
        <v>61</v>
      </c>
      <c r="B32" s="10" t="s">
        <v>440</v>
      </c>
      <c r="C32" s="10" t="s">
        <v>71</v>
      </c>
      <c r="D32" s="22">
        <v>10.9</v>
      </c>
      <c r="E32" s="1">
        <f>ROUNDDOWN(ROUNDDOWN(일위대가목록!E6,0)*AV32/100,0)</f>
        <v>8020</v>
      </c>
      <c r="F32" s="1">
        <f t="shared" ref="F32:F55" si="5">ROUNDDOWN(D32*E32,0)</f>
        <v>87418</v>
      </c>
      <c r="G32" s="1">
        <f>ROUNDDOWN(ROUNDDOWN(일위대가목록!F6,0)*AV32/100,0)</f>
        <v>188589</v>
      </c>
      <c r="H32" s="1">
        <f t="shared" ref="H32:H55" si="6">ROUNDDOWN(D32*G32,0)</f>
        <v>2055620</v>
      </c>
      <c r="I32" s="1">
        <f>ROUNDDOWN(ROUNDDOWN(일위대가목록!G6,0)*AV32/100,0)</f>
        <v>1536</v>
      </c>
      <c r="J32" s="1">
        <f t="shared" ref="J32:J55" si="7">ROUNDDOWN(D32*I32,0)</f>
        <v>16742</v>
      </c>
      <c r="K32" s="1">
        <f t="shared" ref="K32:K55" si="8">ROUNDDOWN(E32+G32+I32,0)</f>
        <v>198145</v>
      </c>
      <c r="L32" s="1">
        <f t="shared" ref="L32:L55" si="9">ROUNDDOWN(F32+H32+J32,0)</f>
        <v>2159780</v>
      </c>
      <c r="M32" s="10" t="s">
        <v>677</v>
      </c>
      <c r="N32" s="2" t="str">
        <f>HYPERLINK("#일위대가목록!A6", "AQA34000010S")</f>
        <v>AQA34000010S</v>
      </c>
      <c r="O32" s="7" t="s">
        <v>677</v>
      </c>
      <c r="P32" s="7" t="s">
        <v>677</v>
      </c>
      <c r="Q32" s="7" t="s">
        <v>974</v>
      </c>
      <c r="R32" s="28">
        <v>210000</v>
      </c>
      <c r="S32" s="28">
        <v>10</v>
      </c>
      <c r="T32" s="7" t="s">
        <v>731</v>
      </c>
      <c r="U32" s="7" t="s">
        <v>399</v>
      </c>
      <c r="V32" s="7" t="s">
        <v>399</v>
      </c>
      <c r="W32" s="7" t="s">
        <v>677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7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7" t="s">
        <v>677</v>
      </c>
      <c r="AV32" s="28">
        <v>100</v>
      </c>
      <c r="AW32" s="3" t="s">
        <v>279</v>
      </c>
    </row>
    <row r="33" spans="1:49" ht="28.5" customHeight="1" x14ac:dyDescent="0.3">
      <c r="A33" s="10" t="s">
        <v>1082</v>
      </c>
      <c r="B33" s="10" t="s">
        <v>1084</v>
      </c>
      <c r="C33" s="10" t="s">
        <v>71</v>
      </c>
      <c r="D33" s="22">
        <v>20.2</v>
      </c>
      <c r="E33" s="1">
        <f>ROUNDDOWN(ROUNDDOWN(일위대가목록!E57,0)*AV33/100,0)</f>
        <v>2120</v>
      </c>
      <c r="F33" s="1">
        <f t="shared" si="5"/>
        <v>42824</v>
      </c>
      <c r="G33" s="1">
        <f>ROUNDDOWN(ROUNDDOWN(일위대가목록!F57,0)*AV33/100,0)</f>
        <v>106032</v>
      </c>
      <c r="H33" s="1">
        <f t="shared" si="6"/>
        <v>2141846</v>
      </c>
      <c r="I33" s="1">
        <f>ROUNDDOWN(ROUNDDOWN(일위대가목록!G57,0)*AV33/100,0)</f>
        <v>0</v>
      </c>
      <c r="J33" s="1">
        <f t="shared" si="7"/>
        <v>0</v>
      </c>
      <c r="K33" s="1">
        <f t="shared" si="8"/>
        <v>108152</v>
      </c>
      <c r="L33" s="1">
        <f t="shared" si="9"/>
        <v>2184670</v>
      </c>
      <c r="M33" s="10"/>
      <c r="N33" s="2" t="s">
        <v>1078</v>
      </c>
      <c r="O33" s="7" t="s">
        <v>677</v>
      </c>
      <c r="P33" s="7" t="s">
        <v>677</v>
      </c>
      <c r="Q33" s="7" t="s">
        <v>974</v>
      </c>
      <c r="R33" s="28">
        <v>210000</v>
      </c>
      <c r="S33" s="28">
        <v>20</v>
      </c>
      <c r="T33" s="7" t="s">
        <v>731</v>
      </c>
      <c r="U33" s="7" t="s">
        <v>399</v>
      </c>
      <c r="V33" s="7" t="s">
        <v>399</v>
      </c>
      <c r="W33" s="7" t="s">
        <v>677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7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7" t="s">
        <v>677</v>
      </c>
      <c r="AV33" s="28">
        <v>100</v>
      </c>
      <c r="AW33" s="3" t="s">
        <v>1083</v>
      </c>
    </row>
    <row r="34" spans="1:49" ht="28.5" customHeight="1" x14ac:dyDescent="0.3">
      <c r="A34" s="10" t="s">
        <v>677</v>
      </c>
      <c r="B34" s="10" t="s">
        <v>677</v>
      </c>
      <c r="C34" s="10" t="s">
        <v>677</v>
      </c>
      <c r="D34" s="1">
        <v>0</v>
      </c>
      <c r="E34" s="1">
        <v>0</v>
      </c>
      <c r="F34" s="1">
        <f t="shared" si="5"/>
        <v>0</v>
      </c>
      <c r="G34" s="1">
        <v>0</v>
      </c>
      <c r="H34" s="1">
        <f t="shared" si="6"/>
        <v>0</v>
      </c>
      <c r="I34" s="1">
        <v>0</v>
      </c>
      <c r="J34" s="1">
        <f t="shared" si="7"/>
        <v>0</v>
      </c>
      <c r="K34" s="1">
        <f t="shared" si="8"/>
        <v>0</v>
      </c>
      <c r="L34" s="1">
        <f t="shared" si="9"/>
        <v>0</v>
      </c>
      <c r="M34" s="10" t="s">
        <v>677</v>
      </c>
      <c r="N34" s="10" t="s">
        <v>677</v>
      </c>
      <c r="O34" s="10" t="s">
        <v>677</v>
      </c>
      <c r="P34" s="10" t="s">
        <v>677</v>
      </c>
      <c r="AU34" s="7"/>
      <c r="AV34" s="28">
        <v>0</v>
      </c>
      <c r="AW34" s="3" t="s">
        <v>677</v>
      </c>
    </row>
    <row r="35" spans="1:49" ht="28.5" customHeight="1" x14ac:dyDescent="0.3">
      <c r="A35" s="10" t="s">
        <v>677</v>
      </c>
      <c r="B35" s="10" t="s">
        <v>677</v>
      </c>
      <c r="C35" s="10" t="s">
        <v>677</v>
      </c>
      <c r="D35" s="1">
        <v>0</v>
      </c>
      <c r="E35" s="1">
        <v>0</v>
      </c>
      <c r="F35" s="1">
        <f t="shared" si="5"/>
        <v>0</v>
      </c>
      <c r="G35" s="1">
        <v>0</v>
      </c>
      <c r="H35" s="1">
        <f t="shared" si="6"/>
        <v>0</v>
      </c>
      <c r="I35" s="1">
        <v>0</v>
      </c>
      <c r="J35" s="1">
        <f t="shared" si="7"/>
        <v>0</v>
      </c>
      <c r="K35" s="1">
        <f t="shared" si="8"/>
        <v>0</v>
      </c>
      <c r="L35" s="1">
        <f t="shared" si="9"/>
        <v>0</v>
      </c>
      <c r="M35" s="10" t="s">
        <v>677</v>
      </c>
      <c r="N35" s="10" t="s">
        <v>677</v>
      </c>
      <c r="O35" s="10" t="s">
        <v>677</v>
      </c>
      <c r="P35" s="10" t="s">
        <v>677</v>
      </c>
      <c r="AU35" s="7"/>
      <c r="AV35" s="28">
        <v>0</v>
      </c>
      <c r="AW35" s="3" t="s">
        <v>677</v>
      </c>
    </row>
    <row r="36" spans="1:49" ht="28.5" customHeight="1" x14ac:dyDescent="0.3">
      <c r="A36" s="10" t="s">
        <v>677</v>
      </c>
      <c r="B36" s="10" t="s">
        <v>677</v>
      </c>
      <c r="C36" s="10" t="s">
        <v>677</v>
      </c>
      <c r="D36" s="1">
        <v>0</v>
      </c>
      <c r="E36" s="1">
        <v>0</v>
      </c>
      <c r="F36" s="1">
        <f t="shared" si="5"/>
        <v>0</v>
      </c>
      <c r="G36" s="1">
        <v>0</v>
      </c>
      <c r="H36" s="1">
        <f t="shared" si="6"/>
        <v>0</v>
      </c>
      <c r="I36" s="1">
        <v>0</v>
      </c>
      <c r="J36" s="1">
        <f t="shared" si="7"/>
        <v>0</v>
      </c>
      <c r="K36" s="1">
        <f t="shared" si="8"/>
        <v>0</v>
      </c>
      <c r="L36" s="1">
        <f t="shared" si="9"/>
        <v>0</v>
      </c>
      <c r="M36" s="10" t="s">
        <v>677</v>
      </c>
      <c r="N36" s="10" t="s">
        <v>677</v>
      </c>
      <c r="O36" s="10" t="s">
        <v>677</v>
      </c>
      <c r="P36" s="10" t="s">
        <v>677</v>
      </c>
      <c r="AU36" s="7"/>
      <c r="AV36" s="28">
        <v>0</v>
      </c>
      <c r="AW36" s="3" t="s">
        <v>677</v>
      </c>
    </row>
    <row r="37" spans="1:49" ht="28.5" customHeight="1" x14ac:dyDescent="0.3">
      <c r="A37" s="10" t="s">
        <v>677</v>
      </c>
      <c r="B37" s="10" t="s">
        <v>677</v>
      </c>
      <c r="C37" s="10" t="s">
        <v>677</v>
      </c>
      <c r="D37" s="1">
        <v>0</v>
      </c>
      <c r="E37" s="1">
        <v>0</v>
      </c>
      <c r="F37" s="1">
        <f t="shared" si="5"/>
        <v>0</v>
      </c>
      <c r="G37" s="1">
        <v>0</v>
      </c>
      <c r="H37" s="1">
        <f t="shared" si="6"/>
        <v>0</v>
      </c>
      <c r="I37" s="1">
        <v>0</v>
      </c>
      <c r="J37" s="1">
        <f t="shared" si="7"/>
        <v>0</v>
      </c>
      <c r="K37" s="1">
        <f t="shared" si="8"/>
        <v>0</v>
      </c>
      <c r="L37" s="1">
        <f t="shared" si="9"/>
        <v>0</v>
      </c>
      <c r="M37" s="10" t="s">
        <v>677</v>
      </c>
      <c r="N37" s="10" t="s">
        <v>677</v>
      </c>
      <c r="O37" s="10" t="s">
        <v>677</v>
      </c>
      <c r="P37" s="10" t="s">
        <v>677</v>
      </c>
      <c r="AU37" s="7"/>
      <c r="AV37" s="28">
        <v>0</v>
      </c>
      <c r="AW37" s="3" t="s">
        <v>677</v>
      </c>
    </row>
    <row r="38" spans="1:49" ht="28.5" customHeight="1" x14ac:dyDescent="0.3">
      <c r="A38" s="10" t="s">
        <v>677</v>
      </c>
      <c r="B38" s="10" t="s">
        <v>677</v>
      </c>
      <c r="C38" s="10" t="s">
        <v>677</v>
      </c>
      <c r="D38" s="1">
        <v>0</v>
      </c>
      <c r="E38" s="1">
        <v>0</v>
      </c>
      <c r="F38" s="1">
        <f t="shared" si="5"/>
        <v>0</v>
      </c>
      <c r="G38" s="1">
        <v>0</v>
      </c>
      <c r="H38" s="1">
        <f t="shared" si="6"/>
        <v>0</v>
      </c>
      <c r="I38" s="1">
        <v>0</v>
      </c>
      <c r="J38" s="1">
        <f t="shared" si="7"/>
        <v>0</v>
      </c>
      <c r="K38" s="1">
        <f t="shared" si="8"/>
        <v>0</v>
      </c>
      <c r="L38" s="1">
        <f t="shared" si="9"/>
        <v>0</v>
      </c>
      <c r="M38" s="10" t="s">
        <v>677</v>
      </c>
      <c r="N38" s="10" t="s">
        <v>677</v>
      </c>
      <c r="O38" s="10" t="s">
        <v>677</v>
      </c>
      <c r="P38" s="10" t="s">
        <v>677</v>
      </c>
      <c r="AU38" s="7"/>
      <c r="AV38" s="28">
        <v>0</v>
      </c>
      <c r="AW38" s="3" t="s">
        <v>677</v>
      </c>
    </row>
    <row r="39" spans="1:49" ht="28.5" customHeight="1" x14ac:dyDescent="0.3">
      <c r="A39" s="10" t="s">
        <v>677</v>
      </c>
      <c r="B39" s="10" t="s">
        <v>677</v>
      </c>
      <c r="C39" s="10" t="s">
        <v>677</v>
      </c>
      <c r="D39" s="1">
        <v>0</v>
      </c>
      <c r="E39" s="1">
        <v>0</v>
      </c>
      <c r="F39" s="1">
        <f t="shared" si="5"/>
        <v>0</v>
      </c>
      <c r="G39" s="1">
        <v>0</v>
      </c>
      <c r="H39" s="1">
        <f t="shared" si="6"/>
        <v>0</v>
      </c>
      <c r="I39" s="1">
        <v>0</v>
      </c>
      <c r="J39" s="1">
        <f t="shared" si="7"/>
        <v>0</v>
      </c>
      <c r="K39" s="1">
        <f t="shared" si="8"/>
        <v>0</v>
      </c>
      <c r="L39" s="1">
        <f t="shared" si="9"/>
        <v>0</v>
      </c>
      <c r="M39" s="10" t="s">
        <v>677</v>
      </c>
      <c r="N39" s="10" t="s">
        <v>677</v>
      </c>
      <c r="O39" s="10" t="s">
        <v>677</v>
      </c>
      <c r="P39" s="10" t="s">
        <v>677</v>
      </c>
      <c r="AU39" s="7"/>
      <c r="AV39" s="28">
        <v>0</v>
      </c>
      <c r="AW39" s="3" t="s">
        <v>677</v>
      </c>
    </row>
    <row r="40" spans="1:49" ht="28.5" customHeight="1" x14ac:dyDescent="0.3">
      <c r="A40" s="10" t="s">
        <v>677</v>
      </c>
      <c r="B40" s="10" t="s">
        <v>677</v>
      </c>
      <c r="C40" s="10" t="s">
        <v>677</v>
      </c>
      <c r="D40" s="1">
        <v>0</v>
      </c>
      <c r="E40" s="1">
        <v>0</v>
      </c>
      <c r="F40" s="1">
        <f t="shared" si="5"/>
        <v>0</v>
      </c>
      <c r="G40" s="1">
        <v>0</v>
      </c>
      <c r="H40" s="1">
        <f t="shared" si="6"/>
        <v>0</v>
      </c>
      <c r="I40" s="1">
        <v>0</v>
      </c>
      <c r="J40" s="1">
        <f t="shared" si="7"/>
        <v>0</v>
      </c>
      <c r="K40" s="1">
        <f t="shared" si="8"/>
        <v>0</v>
      </c>
      <c r="L40" s="1">
        <f t="shared" si="9"/>
        <v>0</v>
      </c>
      <c r="M40" s="10" t="s">
        <v>677</v>
      </c>
      <c r="N40" s="10" t="s">
        <v>677</v>
      </c>
      <c r="O40" s="10" t="s">
        <v>677</v>
      </c>
      <c r="P40" s="10" t="s">
        <v>677</v>
      </c>
      <c r="AU40" s="7"/>
      <c r="AV40" s="28">
        <v>0</v>
      </c>
      <c r="AW40" s="3" t="s">
        <v>677</v>
      </c>
    </row>
    <row r="41" spans="1:49" ht="28.5" customHeight="1" x14ac:dyDescent="0.3">
      <c r="A41" s="10" t="s">
        <v>677</v>
      </c>
      <c r="B41" s="10" t="s">
        <v>677</v>
      </c>
      <c r="C41" s="10" t="s">
        <v>677</v>
      </c>
      <c r="D41" s="1">
        <v>0</v>
      </c>
      <c r="E41" s="1">
        <v>0</v>
      </c>
      <c r="F41" s="1">
        <f t="shared" si="5"/>
        <v>0</v>
      </c>
      <c r="G41" s="1">
        <v>0</v>
      </c>
      <c r="H41" s="1">
        <f t="shared" si="6"/>
        <v>0</v>
      </c>
      <c r="I41" s="1">
        <v>0</v>
      </c>
      <c r="J41" s="1">
        <f t="shared" si="7"/>
        <v>0</v>
      </c>
      <c r="K41" s="1">
        <f t="shared" si="8"/>
        <v>0</v>
      </c>
      <c r="L41" s="1">
        <f t="shared" si="9"/>
        <v>0</v>
      </c>
      <c r="M41" s="10" t="s">
        <v>677</v>
      </c>
      <c r="N41" s="10" t="s">
        <v>677</v>
      </c>
      <c r="O41" s="10" t="s">
        <v>677</v>
      </c>
      <c r="P41" s="10" t="s">
        <v>677</v>
      </c>
      <c r="AU41" s="7"/>
      <c r="AV41" s="28">
        <v>0</v>
      </c>
      <c r="AW41" s="3" t="s">
        <v>677</v>
      </c>
    </row>
    <row r="42" spans="1:49" ht="28.5" customHeight="1" x14ac:dyDescent="0.3">
      <c r="A42" s="10" t="s">
        <v>677</v>
      </c>
      <c r="B42" s="10" t="s">
        <v>677</v>
      </c>
      <c r="C42" s="10" t="s">
        <v>677</v>
      </c>
      <c r="D42" s="1">
        <v>0</v>
      </c>
      <c r="E42" s="1">
        <v>0</v>
      </c>
      <c r="F42" s="1">
        <f t="shared" si="5"/>
        <v>0</v>
      </c>
      <c r="G42" s="1">
        <v>0</v>
      </c>
      <c r="H42" s="1">
        <f t="shared" si="6"/>
        <v>0</v>
      </c>
      <c r="I42" s="1">
        <v>0</v>
      </c>
      <c r="J42" s="1">
        <f t="shared" si="7"/>
        <v>0</v>
      </c>
      <c r="K42" s="1">
        <f t="shared" si="8"/>
        <v>0</v>
      </c>
      <c r="L42" s="1">
        <f t="shared" si="9"/>
        <v>0</v>
      </c>
      <c r="M42" s="10" t="s">
        <v>677</v>
      </c>
      <c r="N42" s="10" t="s">
        <v>677</v>
      </c>
      <c r="O42" s="10" t="s">
        <v>677</v>
      </c>
      <c r="P42" s="10" t="s">
        <v>677</v>
      </c>
      <c r="AU42" s="7"/>
      <c r="AV42" s="28">
        <v>0</v>
      </c>
      <c r="AW42" s="3" t="s">
        <v>677</v>
      </c>
    </row>
    <row r="43" spans="1:49" ht="28.5" customHeight="1" x14ac:dyDescent="0.3">
      <c r="A43" s="10" t="s">
        <v>677</v>
      </c>
      <c r="B43" s="10" t="s">
        <v>677</v>
      </c>
      <c r="C43" s="10" t="s">
        <v>677</v>
      </c>
      <c r="D43" s="1">
        <v>0</v>
      </c>
      <c r="E43" s="1">
        <v>0</v>
      </c>
      <c r="F43" s="1">
        <f t="shared" si="5"/>
        <v>0</v>
      </c>
      <c r="G43" s="1">
        <v>0</v>
      </c>
      <c r="H43" s="1">
        <f t="shared" si="6"/>
        <v>0</v>
      </c>
      <c r="I43" s="1">
        <v>0</v>
      </c>
      <c r="J43" s="1">
        <f t="shared" si="7"/>
        <v>0</v>
      </c>
      <c r="K43" s="1">
        <f t="shared" si="8"/>
        <v>0</v>
      </c>
      <c r="L43" s="1">
        <f t="shared" si="9"/>
        <v>0</v>
      </c>
      <c r="M43" s="10" t="s">
        <v>677</v>
      </c>
      <c r="N43" s="10" t="s">
        <v>677</v>
      </c>
      <c r="O43" s="10" t="s">
        <v>677</v>
      </c>
      <c r="P43" s="10" t="s">
        <v>677</v>
      </c>
      <c r="AU43" s="7"/>
      <c r="AV43" s="28">
        <v>0</v>
      </c>
      <c r="AW43" s="3" t="s">
        <v>677</v>
      </c>
    </row>
    <row r="44" spans="1:49" ht="28.5" customHeight="1" x14ac:dyDescent="0.3">
      <c r="A44" s="10" t="s">
        <v>677</v>
      </c>
      <c r="B44" s="10" t="s">
        <v>677</v>
      </c>
      <c r="C44" s="10" t="s">
        <v>677</v>
      </c>
      <c r="D44" s="1">
        <v>0</v>
      </c>
      <c r="E44" s="1">
        <v>0</v>
      </c>
      <c r="F44" s="1">
        <f t="shared" si="5"/>
        <v>0</v>
      </c>
      <c r="G44" s="1">
        <v>0</v>
      </c>
      <c r="H44" s="1">
        <f t="shared" si="6"/>
        <v>0</v>
      </c>
      <c r="I44" s="1">
        <v>0</v>
      </c>
      <c r="J44" s="1">
        <f t="shared" si="7"/>
        <v>0</v>
      </c>
      <c r="K44" s="1">
        <f t="shared" si="8"/>
        <v>0</v>
      </c>
      <c r="L44" s="1">
        <f t="shared" si="9"/>
        <v>0</v>
      </c>
      <c r="M44" s="10" t="s">
        <v>677</v>
      </c>
      <c r="N44" s="10" t="s">
        <v>677</v>
      </c>
      <c r="O44" s="10" t="s">
        <v>677</v>
      </c>
      <c r="P44" s="10" t="s">
        <v>677</v>
      </c>
      <c r="AU44" s="7"/>
      <c r="AV44" s="28">
        <v>0</v>
      </c>
      <c r="AW44" s="3" t="s">
        <v>677</v>
      </c>
    </row>
    <row r="45" spans="1:49" ht="28.5" customHeight="1" x14ac:dyDescent="0.3">
      <c r="A45" s="10" t="s">
        <v>677</v>
      </c>
      <c r="B45" s="10" t="s">
        <v>677</v>
      </c>
      <c r="C45" s="10" t="s">
        <v>677</v>
      </c>
      <c r="D45" s="1">
        <v>0</v>
      </c>
      <c r="E45" s="1">
        <v>0</v>
      </c>
      <c r="F45" s="1">
        <f t="shared" si="5"/>
        <v>0</v>
      </c>
      <c r="G45" s="1">
        <v>0</v>
      </c>
      <c r="H45" s="1">
        <f t="shared" si="6"/>
        <v>0</v>
      </c>
      <c r="I45" s="1">
        <v>0</v>
      </c>
      <c r="J45" s="1">
        <f t="shared" si="7"/>
        <v>0</v>
      </c>
      <c r="K45" s="1">
        <f t="shared" si="8"/>
        <v>0</v>
      </c>
      <c r="L45" s="1">
        <f t="shared" si="9"/>
        <v>0</v>
      </c>
      <c r="M45" s="10" t="s">
        <v>677</v>
      </c>
      <c r="N45" s="10" t="s">
        <v>677</v>
      </c>
      <c r="O45" s="10" t="s">
        <v>677</v>
      </c>
      <c r="P45" s="10" t="s">
        <v>677</v>
      </c>
      <c r="AU45" s="7"/>
      <c r="AV45" s="28">
        <v>0</v>
      </c>
      <c r="AW45" s="3" t="s">
        <v>677</v>
      </c>
    </row>
    <row r="46" spans="1:49" ht="28.5" customHeight="1" x14ac:dyDescent="0.3">
      <c r="A46" s="10" t="s">
        <v>677</v>
      </c>
      <c r="B46" s="10" t="s">
        <v>677</v>
      </c>
      <c r="C46" s="10" t="s">
        <v>677</v>
      </c>
      <c r="D46" s="1">
        <v>0</v>
      </c>
      <c r="E46" s="1">
        <v>0</v>
      </c>
      <c r="F46" s="1">
        <f t="shared" si="5"/>
        <v>0</v>
      </c>
      <c r="G46" s="1">
        <v>0</v>
      </c>
      <c r="H46" s="1">
        <f t="shared" si="6"/>
        <v>0</v>
      </c>
      <c r="I46" s="1">
        <v>0</v>
      </c>
      <c r="J46" s="1">
        <f t="shared" si="7"/>
        <v>0</v>
      </c>
      <c r="K46" s="1">
        <f t="shared" si="8"/>
        <v>0</v>
      </c>
      <c r="L46" s="1">
        <f t="shared" si="9"/>
        <v>0</v>
      </c>
      <c r="M46" s="10" t="s">
        <v>677</v>
      </c>
      <c r="N46" s="10" t="s">
        <v>677</v>
      </c>
      <c r="O46" s="10" t="s">
        <v>677</v>
      </c>
      <c r="P46" s="10" t="s">
        <v>677</v>
      </c>
      <c r="AU46" s="7"/>
      <c r="AV46" s="28">
        <v>0</v>
      </c>
      <c r="AW46" s="3" t="s">
        <v>677</v>
      </c>
    </row>
    <row r="47" spans="1:49" ht="28.5" customHeight="1" x14ac:dyDescent="0.3">
      <c r="A47" s="10" t="s">
        <v>677</v>
      </c>
      <c r="B47" s="10" t="s">
        <v>677</v>
      </c>
      <c r="C47" s="10" t="s">
        <v>677</v>
      </c>
      <c r="D47" s="1">
        <v>0</v>
      </c>
      <c r="E47" s="1">
        <v>0</v>
      </c>
      <c r="F47" s="1">
        <f t="shared" si="5"/>
        <v>0</v>
      </c>
      <c r="G47" s="1">
        <v>0</v>
      </c>
      <c r="H47" s="1">
        <f t="shared" si="6"/>
        <v>0</v>
      </c>
      <c r="I47" s="1">
        <v>0</v>
      </c>
      <c r="J47" s="1">
        <f t="shared" si="7"/>
        <v>0</v>
      </c>
      <c r="K47" s="1">
        <f t="shared" si="8"/>
        <v>0</v>
      </c>
      <c r="L47" s="1">
        <f t="shared" si="9"/>
        <v>0</v>
      </c>
      <c r="M47" s="10" t="s">
        <v>677</v>
      </c>
      <c r="N47" s="10" t="s">
        <v>677</v>
      </c>
      <c r="O47" s="10" t="s">
        <v>677</v>
      </c>
      <c r="P47" s="10" t="s">
        <v>677</v>
      </c>
      <c r="AU47" s="7"/>
      <c r="AV47" s="28">
        <v>0</v>
      </c>
      <c r="AW47" s="3" t="s">
        <v>677</v>
      </c>
    </row>
    <row r="48" spans="1:49" ht="28.5" customHeight="1" x14ac:dyDescent="0.3">
      <c r="A48" s="10" t="s">
        <v>677</v>
      </c>
      <c r="B48" s="10" t="s">
        <v>677</v>
      </c>
      <c r="C48" s="10" t="s">
        <v>677</v>
      </c>
      <c r="D48" s="1">
        <v>0</v>
      </c>
      <c r="E48" s="1">
        <v>0</v>
      </c>
      <c r="F48" s="1">
        <f t="shared" si="5"/>
        <v>0</v>
      </c>
      <c r="G48" s="1">
        <v>0</v>
      </c>
      <c r="H48" s="1">
        <f t="shared" si="6"/>
        <v>0</v>
      </c>
      <c r="I48" s="1">
        <v>0</v>
      </c>
      <c r="J48" s="1">
        <f t="shared" si="7"/>
        <v>0</v>
      </c>
      <c r="K48" s="1">
        <f t="shared" si="8"/>
        <v>0</v>
      </c>
      <c r="L48" s="1">
        <f t="shared" si="9"/>
        <v>0</v>
      </c>
      <c r="M48" s="10" t="s">
        <v>677</v>
      </c>
      <c r="N48" s="10" t="s">
        <v>677</v>
      </c>
      <c r="O48" s="10" t="s">
        <v>677</v>
      </c>
      <c r="P48" s="10" t="s">
        <v>677</v>
      </c>
      <c r="AU48" s="7"/>
      <c r="AV48" s="28">
        <v>0</v>
      </c>
      <c r="AW48" s="3" t="s">
        <v>677</v>
      </c>
    </row>
    <row r="49" spans="1:49" ht="28.5" customHeight="1" x14ac:dyDescent="0.3">
      <c r="A49" s="10" t="s">
        <v>677</v>
      </c>
      <c r="B49" s="10" t="s">
        <v>677</v>
      </c>
      <c r="C49" s="10" t="s">
        <v>677</v>
      </c>
      <c r="D49" s="1">
        <v>0</v>
      </c>
      <c r="E49" s="1">
        <v>0</v>
      </c>
      <c r="F49" s="1">
        <f t="shared" si="5"/>
        <v>0</v>
      </c>
      <c r="G49" s="1">
        <v>0</v>
      </c>
      <c r="H49" s="1">
        <f t="shared" si="6"/>
        <v>0</v>
      </c>
      <c r="I49" s="1">
        <v>0</v>
      </c>
      <c r="J49" s="1">
        <f t="shared" si="7"/>
        <v>0</v>
      </c>
      <c r="K49" s="1">
        <f t="shared" si="8"/>
        <v>0</v>
      </c>
      <c r="L49" s="1">
        <f t="shared" si="9"/>
        <v>0</v>
      </c>
      <c r="M49" s="10" t="s">
        <v>677</v>
      </c>
      <c r="N49" s="10" t="s">
        <v>677</v>
      </c>
      <c r="O49" s="10" t="s">
        <v>677</v>
      </c>
      <c r="P49" s="10" t="s">
        <v>677</v>
      </c>
      <c r="AU49" s="7"/>
      <c r="AV49" s="28">
        <v>0</v>
      </c>
      <c r="AW49" s="3" t="s">
        <v>677</v>
      </c>
    </row>
    <row r="50" spans="1:49" ht="28.5" customHeight="1" x14ac:dyDescent="0.3">
      <c r="A50" s="10" t="s">
        <v>677</v>
      </c>
      <c r="B50" s="10" t="s">
        <v>677</v>
      </c>
      <c r="C50" s="10" t="s">
        <v>677</v>
      </c>
      <c r="D50" s="1">
        <v>0</v>
      </c>
      <c r="E50" s="1">
        <v>0</v>
      </c>
      <c r="F50" s="1">
        <f t="shared" si="5"/>
        <v>0</v>
      </c>
      <c r="G50" s="1">
        <v>0</v>
      </c>
      <c r="H50" s="1">
        <f t="shared" si="6"/>
        <v>0</v>
      </c>
      <c r="I50" s="1">
        <v>0</v>
      </c>
      <c r="J50" s="1">
        <f t="shared" si="7"/>
        <v>0</v>
      </c>
      <c r="K50" s="1">
        <f t="shared" si="8"/>
        <v>0</v>
      </c>
      <c r="L50" s="1">
        <f t="shared" si="9"/>
        <v>0</v>
      </c>
      <c r="M50" s="10" t="s">
        <v>677</v>
      </c>
      <c r="N50" s="10" t="s">
        <v>677</v>
      </c>
      <c r="O50" s="10" t="s">
        <v>677</v>
      </c>
      <c r="P50" s="10" t="s">
        <v>677</v>
      </c>
      <c r="AU50" s="7"/>
      <c r="AV50" s="28">
        <v>0</v>
      </c>
      <c r="AW50" s="3" t="s">
        <v>677</v>
      </c>
    </row>
    <row r="51" spans="1:49" ht="28.5" customHeight="1" x14ac:dyDescent="0.3">
      <c r="A51" s="10" t="s">
        <v>677</v>
      </c>
      <c r="B51" s="10" t="s">
        <v>677</v>
      </c>
      <c r="C51" s="10" t="s">
        <v>677</v>
      </c>
      <c r="D51" s="1">
        <v>0</v>
      </c>
      <c r="E51" s="1">
        <v>0</v>
      </c>
      <c r="F51" s="1">
        <f t="shared" si="5"/>
        <v>0</v>
      </c>
      <c r="G51" s="1">
        <v>0</v>
      </c>
      <c r="H51" s="1">
        <f t="shared" si="6"/>
        <v>0</v>
      </c>
      <c r="I51" s="1">
        <v>0</v>
      </c>
      <c r="J51" s="1">
        <f t="shared" si="7"/>
        <v>0</v>
      </c>
      <c r="K51" s="1">
        <f t="shared" si="8"/>
        <v>0</v>
      </c>
      <c r="L51" s="1">
        <f t="shared" si="9"/>
        <v>0</v>
      </c>
      <c r="M51" s="10" t="s">
        <v>677</v>
      </c>
      <c r="N51" s="10" t="s">
        <v>677</v>
      </c>
      <c r="O51" s="10" t="s">
        <v>677</v>
      </c>
      <c r="P51" s="10" t="s">
        <v>677</v>
      </c>
      <c r="AU51" s="7"/>
      <c r="AV51" s="28">
        <v>0</v>
      </c>
      <c r="AW51" s="3" t="s">
        <v>677</v>
      </c>
    </row>
    <row r="52" spans="1:49" ht="28.5" customHeight="1" x14ac:dyDescent="0.3">
      <c r="A52" s="10" t="s">
        <v>677</v>
      </c>
      <c r="B52" s="10" t="s">
        <v>677</v>
      </c>
      <c r="C52" s="10" t="s">
        <v>677</v>
      </c>
      <c r="D52" s="1">
        <v>0</v>
      </c>
      <c r="E52" s="1">
        <v>0</v>
      </c>
      <c r="F52" s="1">
        <f t="shared" si="5"/>
        <v>0</v>
      </c>
      <c r="G52" s="1">
        <v>0</v>
      </c>
      <c r="H52" s="1">
        <f t="shared" si="6"/>
        <v>0</v>
      </c>
      <c r="I52" s="1">
        <v>0</v>
      </c>
      <c r="J52" s="1">
        <f t="shared" si="7"/>
        <v>0</v>
      </c>
      <c r="K52" s="1">
        <f t="shared" si="8"/>
        <v>0</v>
      </c>
      <c r="L52" s="1">
        <f t="shared" si="9"/>
        <v>0</v>
      </c>
      <c r="M52" s="10" t="s">
        <v>677</v>
      </c>
      <c r="N52" s="10" t="s">
        <v>677</v>
      </c>
      <c r="O52" s="10" t="s">
        <v>677</v>
      </c>
      <c r="P52" s="10" t="s">
        <v>677</v>
      </c>
      <c r="AU52" s="7"/>
      <c r="AV52" s="28">
        <v>0</v>
      </c>
      <c r="AW52" s="3" t="s">
        <v>677</v>
      </c>
    </row>
    <row r="53" spans="1:49" ht="28.5" customHeight="1" x14ac:dyDescent="0.3">
      <c r="A53" s="10" t="s">
        <v>677</v>
      </c>
      <c r="B53" s="10" t="s">
        <v>677</v>
      </c>
      <c r="C53" s="10" t="s">
        <v>677</v>
      </c>
      <c r="D53" s="1">
        <v>0</v>
      </c>
      <c r="E53" s="1">
        <v>0</v>
      </c>
      <c r="F53" s="1">
        <f t="shared" si="5"/>
        <v>0</v>
      </c>
      <c r="G53" s="1">
        <v>0</v>
      </c>
      <c r="H53" s="1">
        <f t="shared" si="6"/>
        <v>0</v>
      </c>
      <c r="I53" s="1">
        <v>0</v>
      </c>
      <c r="J53" s="1">
        <f t="shared" si="7"/>
        <v>0</v>
      </c>
      <c r="K53" s="1">
        <f t="shared" si="8"/>
        <v>0</v>
      </c>
      <c r="L53" s="1">
        <f t="shared" si="9"/>
        <v>0</v>
      </c>
      <c r="M53" s="10" t="s">
        <v>677</v>
      </c>
      <c r="N53" s="10" t="s">
        <v>677</v>
      </c>
      <c r="O53" s="10" t="s">
        <v>677</v>
      </c>
      <c r="P53" s="10" t="s">
        <v>677</v>
      </c>
      <c r="AU53" s="7"/>
      <c r="AV53" s="28">
        <v>0</v>
      </c>
      <c r="AW53" s="3" t="s">
        <v>677</v>
      </c>
    </row>
    <row r="54" spans="1:49" ht="28.5" customHeight="1" x14ac:dyDescent="0.3">
      <c r="A54" s="10" t="s">
        <v>677</v>
      </c>
      <c r="B54" s="10" t="s">
        <v>677</v>
      </c>
      <c r="C54" s="10" t="s">
        <v>677</v>
      </c>
      <c r="D54" s="1">
        <v>0</v>
      </c>
      <c r="E54" s="1">
        <v>0</v>
      </c>
      <c r="F54" s="1">
        <f t="shared" si="5"/>
        <v>0</v>
      </c>
      <c r="G54" s="1">
        <v>0</v>
      </c>
      <c r="H54" s="1">
        <f t="shared" si="6"/>
        <v>0</v>
      </c>
      <c r="I54" s="1">
        <v>0</v>
      </c>
      <c r="J54" s="1">
        <f t="shared" si="7"/>
        <v>0</v>
      </c>
      <c r="K54" s="1">
        <f t="shared" si="8"/>
        <v>0</v>
      </c>
      <c r="L54" s="1">
        <f t="shared" si="9"/>
        <v>0</v>
      </c>
      <c r="M54" s="10" t="s">
        <v>677</v>
      </c>
      <c r="N54" s="10" t="s">
        <v>677</v>
      </c>
      <c r="O54" s="10" t="s">
        <v>677</v>
      </c>
      <c r="P54" s="10" t="s">
        <v>677</v>
      </c>
      <c r="AU54" s="7"/>
      <c r="AV54" s="28">
        <v>0</v>
      </c>
      <c r="AW54" s="3" t="s">
        <v>677</v>
      </c>
    </row>
    <row r="55" spans="1:49" ht="28.5" customHeight="1" x14ac:dyDescent="0.3">
      <c r="A55" s="10" t="s">
        <v>677</v>
      </c>
      <c r="B55" s="10" t="s">
        <v>677</v>
      </c>
      <c r="C55" s="10" t="s">
        <v>677</v>
      </c>
      <c r="D55" s="1">
        <v>0</v>
      </c>
      <c r="E55" s="1">
        <v>0</v>
      </c>
      <c r="F55" s="1">
        <f t="shared" si="5"/>
        <v>0</v>
      </c>
      <c r="G55" s="1">
        <v>0</v>
      </c>
      <c r="H55" s="1">
        <f t="shared" si="6"/>
        <v>0</v>
      </c>
      <c r="I55" s="1">
        <v>0</v>
      </c>
      <c r="J55" s="1">
        <f t="shared" si="7"/>
        <v>0</v>
      </c>
      <c r="K55" s="1">
        <f t="shared" si="8"/>
        <v>0</v>
      </c>
      <c r="L55" s="1">
        <f t="shared" si="9"/>
        <v>0</v>
      </c>
      <c r="M55" s="10" t="s">
        <v>677</v>
      </c>
      <c r="N55" s="10" t="s">
        <v>677</v>
      </c>
      <c r="O55" s="10" t="s">
        <v>677</v>
      </c>
      <c r="P55" s="10" t="s">
        <v>677</v>
      </c>
      <c r="AU55" s="7"/>
      <c r="AV55" s="28">
        <v>0</v>
      </c>
      <c r="AW55" s="3" t="s">
        <v>677</v>
      </c>
    </row>
    <row r="56" spans="1:49" ht="28.5" customHeight="1" x14ac:dyDescent="0.3">
      <c r="A56" s="10" t="s">
        <v>109</v>
      </c>
      <c r="B56" s="10" t="s">
        <v>677</v>
      </c>
      <c r="C56" s="10" t="s">
        <v>677</v>
      </c>
      <c r="D56" s="10" t="s">
        <v>677</v>
      </c>
      <c r="E56" s="27">
        <v>0</v>
      </c>
      <c r="F56" s="1">
        <f>TRUNC(SUMIF(Q32:Q55, Q31,F32:F55),0)</f>
        <v>130242</v>
      </c>
      <c r="G56" s="1">
        <v>0</v>
      </c>
      <c r="H56" s="1">
        <f>TRUNC(SUMIF(Q32:Q55, Q31,H32:H55),0)</f>
        <v>4197466</v>
      </c>
      <c r="I56" s="1">
        <v>0</v>
      </c>
      <c r="J56" s="1">
        <f>TRUNC(SUMIF(Q32:Q55, Q31,J32:J55),0)</f>
        <v>16742</v>
      </c>
      <c r="K56" s="12" t="s">
        <v>677</v>
      </c>
      <c r="L56" s="1">
        <f>F56+H56+J56</f>
        <v>4344450</v>
      </c>
      <c r="M56" s="10"/>
      <c r="AW56" s="10" t="s">
        <v>677</v>
      </c>
    </row>
    <row r="57" spans="1:49" ht="28.5" customHeight="1" x14ac:dyDescent="0.3">
      <c r="A57" s="10" t="s">
        <v>1077</v>
      </c>
      <c r="B57" s="10"/>
      <c r="C57" s="10"/>
      <c r="D57" s="10" t="s">
        <v>677</v>
      </c>
      <c r="E57" s="10" t="s">
        <v>677</v>
      </c>
      <c r="F57" s="10" t="s">
        <v>677</v>
      </c>
      <c r="G57" s="10" t="s">
        <v>677</v>
      </c>
      <c r="H57" s="10" t="s">
        <v>677</v>
      </c>
      <c r="I57" s="10" t="s">
        <v>677</v>
      </c>
      <c r="J57" s="10" t="s">
        <v>677</v>
      </c>
      <c r="K57" s="10" t="s">
        <v>677</v>
      </c>
      <c r="L57" s="10" t="s">
        <v>677</v>
      </c>
      <c r="M57" s="10" t="s">
        <v>677</v>
      </c>
      <c r="N57" s="5" t="s">
        <v>677</v>
      </c>
      <c r="Q57" s="7" t="s">
        <v>169</v>
      </c>
      <c r="R57" s="28">
        <v>300000</v>
      </c>
      <c r="S57" s="28">
        <v>0</v>
      </c>
      <c r="AH57" s="7"/>
      <c r="AW57" s="10" t="s">
        <v>677</v>
      </c>
    </row>
    <row r="58" spans="1:49" ht="28.5" customHeight="1" x14ac:dyDescent="0.3">
      <c r="A58" s="10" t="s">
        <v>995</v>
      </c>
      <c r="B58" s="10" t="s">
        <v>298</v>
      </c>
      <c r="C58" s="10" t="s">
        <v>71</v>
      </c>
      <c r="D58" s="22">
        <v>51.3</v>
      </c>
      <c r="E58" s="1">
        <f>ROUNDDOWN(ROUNDDOWN(일위대가목록!E7,0)*AV58/100,0)</f>
        <v>2813</v>
      </c>
      <c r="F58" s="1">
        <f t="shared" ref="F58:F80" si="10">ROUNDDOWN(D58*E58,0)</f>
        <v>144306</v>
      </c>
      <c r="G58" s="1">
        <f>ROUNDDOWN(ROUNDDOWN(일위대가목록!F7,0)*AV58/100,0)</f>
        <v>28886</v>
      </c>
      <c r="H58" s="1">
        <f t="shared" ref="H58:H80" si="11">ROUNDDOWN(D58*G58,0)</f>
        <v>1481851</v>
      </c>
      <c r="I58" s="1">
        <f>ROUNDDOWN(ROUNDDOWN(일위대가목록!G7,0)*AV58/100,0)</f>
        <v>3594</v>
      </c>
      <c r="J58" s="1">
        <f t="shared" ref="J58:J80" si="12">ROUNDDOWN(D58*I58,0)</f>
        <v>184372</v>
      </c>
      <c r="K58" s="1">
        <f t="shared" ref="K58:K80" si="13">ROUNDDOWN(E58+G58+I58,0)</f>
        <v>35293</v>
      </c>
      <c r="L58" s="1">
        <f t="shared" ref="L58:L80" si="14">ROUNDDOWN(F58+H58+J58,0)</f>
        <v>1810529</v>
      </c>
      <c r="M58" s="10"/>
      <c r="N58" s="2" t="str">
        <f>HYPERLINK("#일위대가목록!A7", "RBC11010100S")</f>
        <v>RBC11010100S</v>
      </c>
      <c r="O58" s="7" t="s">
        <v>677</v>
      </c>
      <c r="P58" s="7" t="s">
        <v>677</v>
      </c>
      <c r="Q58" s="7" t="s">
        <v>169</v>
      </c>
      <c r="R58" s="28">
        <v>300000</v>
      </c>
      <c r="S58" s="28">
        <v>10</v>
      </c>
      <c r="T58" s="7" t="s">
        <v>731</v>
      </c>
      <c r="U58" s="7" t="s">
        <v>399</v>
      </c>
      <c r="V58" s="7" t="s">
        <v>399</v>
      </c>
      <c r="W58" s="7" t="s">
        <v>677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3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7" t="s">
        <v>677</v>
      </c>
      <c r="AV58" s="28">
        <v>100</v>
      </c>
      <c r="AW58" s="3" t="s">
        <v>849</v>
      </c>
    </row>
    <row r="59" spans="1:49" ht="28.5" customHeight="1" x14ac:dyDescent="0.3">
      <c r="A59" s="10" t="s">
        <v>117</v>
      </c>
      <c r="B59" s="10" t="s">
        <v>914</v>
      </c>
      <c r="C59" s="10" t="s">
        <v>71</v>
      </c>
      <c r="D59" s="22">
        <v>12</v>
      </c>
      <c r="E59" s="1">
        <f>ROUNDDOWN(ROUNDDOWN(중기단가목록!E4,0)*AV59/100,0)</f>
        <v>386</v>
      </c>
      <c r="F59" s="1">
        <f t="shared" si="10"/>
        <v>4632</v>
      </c>
      <c r="G59" s="1">
        <f>ROUNDDOWN(ROUNDDOWN(중기단가목록!F4,0)*AV59/100,0)</f>
        <v>865</v>
      </c>
      <c r="H59" s="1">
        <f t="shared" si="11"/>
        <v>10380</v>
      </c>
      <c r="I59" s="1">
        <f>ROUNDDOWN(ROUNDDOWN(중기단가목록!G4,0)*AV59/100,0)</f>
        <v>287</v>
      </c>
      <c r="J59" s="1">
        <f t="shared" si="12"/>
        <v>3444</v>
      </c>
      <c r="K59" s="1">
        <f t="shared" si="13"/>
        <v>1538</v>
      </c>
      <c r="L59" s="1">
        <f t="shared" si="14"/>
        <v>18456</v>
      </c>
      <c r="M59" s="10" t="s">
        <v>677</v>
      </c>
      <c r="N59" s="2" t="str">
        <f>HYPERLINK("#중기단가산출서!A4", "CDH101010400")</f>
        <v>CDH101010400</v>
      </c>
      <c r="O59" s="7" t="s">
        <v>677</v>
      </c>
      <c r="P59" s="7" t="s">
        <v>677</v>
      </c>
      <c r="Q59" s="7" t="s">
        <v>169</v>
      </c>
      <c r="R59" s="28">
        <v>300000</v>
      </c>
      <c r="S59" s="28">
        <v>20</v>
      </c>
      <c r="T59" s="7" t="s">
        <v>399</v>
      </c>
      <c r="U59" s="7" t="s">
        <v>731</v>
      </c>
      <c r="V59" s="7" t="s">
        <v>399</v>
      </c>
      <c r="W59" s="7" t="s">
        <v>677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3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7" t="s">
        <v>677</v>
      </c>
      <c r="AV59" s="28">
        <v>100</v>
      </c>
      <c r="AW59" s="3" t="s">
        <v>387</v>
      </c>
    </row>
    <row r="60" spans="1:49" ht="28.5" customHeight="1" x14ac:dyDescent="0.3">
      <c r="A60" s="10" t="s">
        <v>1091</v>
      </c>
      <c r="B60" s="10" t="s">
        <v>1011</v>
      </c>
      <c r="C60" s="10" t="s">
        <v>71</v>
      </c>
      <c r="D60" s="22">
        <v>16.7</v>
      </c>
      <c r="E60" s="1">
        <f>ROUNDDOWN(ROUNDDOWN(일위대가목록!E8,0)*AV60/100,0)</f>
        <v>20750</v>
      </c>
      <c r="F60" s="1">
        <f t="shared" si="10"/>
        <v>346525</v>
      </c>
      <c r="G60" s="1">
        <f>ROUNDDOWN(ROUNDDOWN(일위대가목록!F8,0)*AV60/100,0)</f>
        <v>3357</v>
      </c>
      <c r="H60" s="1">
        <f t="shared" si="11"/>
        <v>56061</v>
      </c>
      <c r="I60" s="1">
        <f>ROUNDDOWN(ROUNDDOWN(일위대가목록!G8,0)*AV60/100,0)</f>
        <v>888</v>
      </c>
      <c r="J60" s="1">
        <f t="shared" si="12"/>
        <v>14829</v>
      </c>
      <c r="K60" s="1">
        <f t="shared" si="13"/>
        <v>24995</v>
      </c>
      <c r="L60" s="1">
        <f t="shared" si="14"/>
        <v>417415</v>
      </c>
      <c r="M60" s="10" t="s">
        <v>677</v>
      </c>
      <c r="N60" s="2" t="str">
        <f>HYPERLINK("#일위대가목록!A8", "ACA300100020")</f>
        <v>ACA300100020</v>
      </c>
      <c r="O60" s="7" t="s">
        <v>677</v>
      </c>
      <c r="P60" s="7" t="s">
        <v>677</v>
      </c>
      <c r="Q60" s="7" t="s">
        <v>169</v>
      </c>
      <c r="R60" s="28">
        <v>300000</v>
      </c>
      <c r="S60" s="28">
        <v>30</v>
      </c>
      <c r="T60" s="7" t="s">
        <v>731</v>
      </c>
      <c r="U60" s="7" t="s">
        <v>399</v>
      </c>
      <c r="V60" s="7" t="s">
        <v>399</v>
      </c>
      <c r="W60" s="7" t="s">
        <v>677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3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7" t="s">
        <v>677</v>
      </c>
      <c r="AV60" s="28">
        <v>100</v>
      </c>
      <c r="AW60" s="3" t="s">
        <v>54</v>
      </c>
    </row>
    <row r="61" spans="1:49" ht="28.5" customHeight="1" x14ac:dyDescent="0.3">
      <c r="A61" s="10" t="s">
        <v>772</v>
      </c>
      <c r="B61" s="10" t="s">
        <v>1094</v>
      </c>
      <c r="C61" s="10" t="s">
        <v>71</v>
      </c>
      <c r="D61" s="22">
        <v>15.1</v>
      </c>
      <c r="E61" s="1">
        <f>ROUNDDOWN(ROUNDDOWN(단가대비표!U18,0)*AV61/100,0)</f>
        <v>78250</v>
      </c>
      <c r="F61" s="1">
        <f t="shared" si="10"/>
        <v>1181575</v>
      </c>
      <c r="G61" s="1">
        <f>ROUNDDOWN(ROUNDDOWN(단가대비표!V18,0)*AV61/100,0)</f>
        <v>0</v>
      </c>
      <c r="H61" s="1">
        <f t="shared" si="11"/>
        <v>0</v>
      </c>
      <c r="I61" s="1">
        <f>ROUNDDOWN(ROUNDDOWN(단가대비표!AE18,0)*AV61/100,0)</f>
        <v>0</v>
      </c>
      <c r="J61" s="1">
        <f t="shared" si="12"/>
        <v>0</v>
      </c>
      <c r="K61" s="1">
        <f t="shared" si="13"/>
        <v>78250</v>
      </c>
      <c r="L61" s="1">
        <f t="shared" si="14"/>
        <v>1181575</v>
      </c>
      <c r="M61" s="10" t="s">
        <v>677</v>
      </c>
      <c r="N61" s="2" t="str">
        <f>HYPERLINK("#단가대비표!B17", "3011150521001750")</f>
        <v>3011150521001750</v>
      </c>
      <c r="O61" s="7" t="s">
        <v>677</v>
      </c>
      <c r="P61" s="7" t="s">
        <v>677</v>
      </c>
      <c r="Q61" s="7" t="s">
        <v>169</v>
      </c>
      <c r="R61" s="28">
        <v>300000</v>
      </c>
      <c r="S61" s="28">
        <v>45</v>
      </c>
      <c r="T61" s="7" t="s">
        <v>399</v>
      </c>
      <c r="U61" s="7" t="s">
        <v>399</v>
      </c>
      <c r="V61" s="7" t="s">
        <v>731</v>
      </c>
      <c r="W61" s="7" t="s">
        <v>677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3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7" t="s">
        <v>677</v>
      </c>
      <c r="AV61" s="28">
        <v>100</v>
      </c>
      <c r="AW61" s="3" t="s">
        <v>385</v>
      </c>
    </row>
    <row r="62" spans="1:49" ht="28.5" customHeight="1" x14ac:dyDescent="0.3">
      <c r="A62" s="10" t="s">
        <v>124</v>
      </c>
      <c r="B62" s="10" t="s">
        <v>835</v>
      </c>
      <c r="C62" s="10" t="s">
        <v>71</v>
      </c>
      <c r="D62" s="22">
        <v>15.1</v>
      </c>
      <c r="E62" s="1">
        <f>ROUNDDOWN(ROUNDDOWN(일위대가목록!E9,0)*AV62/100,0)</f>
        <v>2602</v>
      </c>
      <c r="F62" s="1">
        <f t="shared" si="10"/>
        <v>39290</v>
      </c>
      <c r="G62" s="1">
        <f>ROUNDDOWN(ROUNDDOWN(일위대가목록!F9,0)*AV62/100,0)</f>
        <v>21549</v>
      </c>
      <c r="H62" s="1">
        <f t="shared" si="11"/>
        <v>325389</v>
      </c>
      <c r="I62" s="1">
        <f>ROUNDDOWN(ROUNDDOWN(일위대가목록!G9,0)*AV62/100,0)</f>
        <v>2014</v>
      </c>
      <c r="J62" s="1">
        <f t="shared" si="12"/>
        <v>30411</v>
      </c>
      <c r="K62" s="1">
        <f t="shared" si="13"/>
        <v>26165</v>
      </c>
      <c r="L62" s="1">
        <f t="shared" si="14"/>
        <v>395090</v>
      </c>
      <c r="M62" s="10"/>
      <c r="N62" s="2" t="str">
        <f>HYPERLINK("#일위대가목록!A9", "ADF00000050S")</f>
        <v>ADF00000050S</v>
      </c>
      <c r="O62" s="7" t="s">
        <v>677</v>
      </c>
      <c r="P62" s="7" t="s">
        <v>677</v>
      </c>
      <c r="Q62" s="7" t="s">
        <v>169</v>
      </c>
      <c r="R62" s="28">
        <v>300000</v>
      </c>
      <c r="S62" s="28">
        <v>50</v>
      </c>
      <c r="T62" s="7" t="s">
        <v>731</v>
      </c>
      <c r="U62" s="7" t="s">
        <v>399</v>
      </c>
      <c r="V62" s="7" t="s">
        <v>399</v>
      </c>
      <c r="W62" s="7" t="s">
        <v>677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3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7" t="s">
        <v>677</v>
      </c>
      <c r="AV62" s="28">
        <v>100</v>
      </c>
      <c r="AW62" s="3" t="s">
        <v>960</v>
      </c>
    </row>
    <row r="63" spans="1:49" ht="28.5" customHeight="1" x14ac:dyDescent="0.3">
      <c r="A63" s="10" t="s">
        <v>728</v>
      </c>
      <c r="B63" s="10" t="s">
        <v>449</v>
      </c>
      <c r="C63" s="10" t="s">
        <v>801</v>
      </c>
      <c r="D63" s="22">
        <v>73.8</v>
      </c>
      <c r="E63" s="1">
        <f>ROUNDDOWN(ROUNDDOWN(일위대가목록!E10,0)*AV63/100,0)</f>
        <v>5418</v>
      </c>
      <c r="F63" s="1">
        <f t="shared" si="10"/>
        <v>399848</v>
      </c>
      <c r="G63" s="1">
        <f>ROUNDDOWN(ROUNDDOWN(일위대가목록!F10,0)*AV63/100,0)</f>
        <v>1154</v>
      </c>
      <c r="H63" s="1">
        <f t="shared" si="11"/>
        <v>85165</v>
      </c>
      <c r="I63" s="1">
        <f>ROUNDDOWN(ROUNDDOWN(일위대가목록!G10,0)*AV63/100,0)</f>
        <v>0</v>
      </c>
      <c r="J63" s="1">
        <f t="shared" si="12"/>
        <v>0</v>
      </c>
      <c r="K63" s="1">
        <f t="shared" si="13"/>
        <v>6572</v>
      </c>
      <c r="L63" s="1">
        <f t="shared" si="14"/>
        <v>485013</v>
      </c>
      <c r="M63" s="10" t="s">
        <v>677</v>
      </c>
      <c r="N63" s="2" t="str">
        <f>HYPERLINK("#일위대가목록!A10", "AJD000000030")</f>
        <v>AJD000000030</v>
      </c>
      <c r="O63" s="7" t="s">
        <v>677</v>
      </c>
      <c r="P63" s="7" t="s">
        <v>677</v>
      </c>
      <c r="Q63" s="7" t="s">
        <v>169</v>
      </c>
      <c r="R63" s="28">
        <v>300000</v>
      </c>
      <c r="S63" s="28">
        <v>60</v>
      </c>
      <c r="T63" s="7" t="s">
        <v>731</v>
      </c>
      <c r="U63" s="7" t="s">
        <v>399</v>
      </c>
      <c r="V63" s="7" t="s">
        <v>399</v>
      </c>
      <c r="W63" s="7" t="s">
        <v>677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3</v>
      </c>
      <c r="AJ63" s="28">
        <v>0</v>
      </c>
      <c r="AK63" s="28">
        <v>0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  <c r="AR63" s="28">
        <v>0</v>
      </c>
      <c r="AS63" s="28">
        <v>0</v>
      </c>
      <c r="AT63" s="28">
        <v>0</v>
      </c>
      <c r="AU63" s="7" t="s">
        <v>677</v>
      </c>
      <c r="AV63" s="28">
        <v>100</v>
      </c>
      <c r="AW63" s="3" t="s">
        <v>103</v>
      </c>
    </row>
    <row r="64" spans="1:49" ht="28.5" customHeight="1" x14ac:dyDescent="0.3">
      <c r="A64" s="10" t="s">
        <v>677</v>
      </c>
      <c r="B64" s="10" t="s">
        <v>677</v>
      </c>
      <c r="C64" s="10" t="s">
        <v>677</v>
      </c>
      <c r="D64" s="1">
        <v>0</v>
      </c>
      <c r="E64" s="1">
        <v>0</v>
      </c>
      <c r="F64" s="1">
        <f t="shared" si="10"/>
        <v>0</v>
      </c>
      <c r="G64" s="1">
        <v>0</v>
      </c>
      <c r="H64" s="1">
        <f t="shared" si="11"/>
        <v>0</v>
      </c>
      <c r="I64" s="1">
        <v>0</v>
      </c>
      <c r="J64" s="1">
        <f t="shared" si="12"/>
        <v>0</v>
      </c>
      <c r="K64" s="1">
        <f t="shared" si="13"/>
        <v>0</v>
      </c>
      <c r="L64" s="1">
        <f t="shared" si="14"/>
        <v>0</v>
      </c>
      <c r="M64" s="10" t="s">
        <v>677</v>
      </c>
      <c r="N64" s="10" t="s">
        <v>677</v>
      </c>
      <c r="O64" s="10" t="s">
        <v>677</v>
      </c>
      <c r="P64" s="10" t="s">
        <v>677</v>
      </c>
      <c r="AU64" s="7"/>
      <c r="AV64" s="28">
        <v>0</v>
      </c>
      <c r="AW64" s="3" t="s">
        <v>677</v>
      </c>
    </row>
    <row r="65" spans="1:49" ht="28.5" customHeight="1" x14ac:dyDescent="0.3">
      <c r="A65" s="10" t="s">
        <v>677</v>
      </c>
      <c r="B65" s="10" t="s">
        <v>677</v>
      </c>
      <c r="C65" s="10" t="s">
        <v>677</v>
      </c>
      <c r="D65" s="1">
        <v>0</v>
      </c>
      <c r="E65" s="1">
        <v>0</v>
      </c>
      <c r="F65" s="1">
        <f t="shared" si="10"/>
        <v>0</v>
      </c>
      <c r="G65" s="1">
        <v>0</v>
      </c>
      <c r="H65" s="1">
        <f t="shared" si="11"/>
        <v>0</v>
      </c>
      <c r="I65" s="1">
        <v>0</v>
      </c>
      <c r="J65" s="1">
        <f t="shared" si="12"/>
        <v>0</v>
      </c>
      <c r="K65" s="1">
        <f t="shared" si="13"/>
        <v>0</v>
      </c>
      <c r="L65" s="1">
        <f t="shared" si="14"/>
        <v>0</v>
      </c>
      <c r="M65" s="10" t="s">
        <v>677</v>
      </c>
      <c r="N65" s="10" t="s">
        <v>677</v>
      </c>
      <c r="O65" s="10" t="s">
        <v>677</v>
      </c>
      <c r="P65" s="10" t="s">
        <v>677</v>
      </c>
      <c r="AU65" s="7"/>
      <c r="AV65" s="28">
        <v>0</v>
      </c>
      <c r="AW65" s="3" t="s">
        <v>677</v>
      </c>
    </row>
    <row r="66" spans="1:49" ht="28.5" customHeight="1" x14ac:dyDescent="0.3">
      <c r="A66" s="10" t="s">
        <v>677</v>
      </c>
      <c r="B66" s="10" t="s">
        <v>677</v>
      </c>
      <c r="C66" s="10" t="s">
        <v>677</v>
      </c>
      <c r="D66" s="1">
        <v>0</v>
      </c>
      <c r="E66" s="1">
        <v>0</v>
      </c>
      <c r="F66" s="1">
        <f t="shared" si="10"/>
        <v>0</v>
      </c>
      <c r="G66" s="1">
        <v>0</v>
      </c>
      <c r="H66" s="1">
        <f t="shared" si="11"/>
        <v>0</v>
      </c>
      <c r="I66" s="1">
        <v>0</v>
      </c>
      <c r="J66" s="1">
        <f t="shared" si="12"/>
        <v>0</v>
      </c>
      <c r="K66" s="1">
        <f t="shared" si="13"/>
        <v>0</v>
      </c>
      <c r="L66" s="1">
        <f t="shared" si="14"/>
        <v>0</v>
      </c>
      <c r="M66" s="10" t="s">
        <v>677</v>
      </c>
      <c r="N66" s="10" t="s">
        <v>677</v>
      </c>
      <c r="O66" s="10" t="s">
        <v>677</v>
      </c>
      <c r="P66" s="10" t="s">
        <v>677</v>
      </c>
      <c r="AU66" s="7"/>
      <c r="AV66" s="28">
        <v>0</v>
      </c>
      <c r="AW66" s="3" t="s">
        <v>677</v>
      </c>
    </row>
    <row r="67" spans="1:49" ht="28.5" customHeight="1" x14ac:dyDescent="0.3">
      <c r="A67" s="10" t="s">
        <v>677</v>
      </c>
      <c r="B67" s="10" t="s">
        <v>677</v>
      </c>
      <c r="C67" s="10" t="s">
        <v>677</v>
      </c>
      <c r="D67" s="1">
        <v>0</v>
      </c>
      <c r="E67" s="1">
        <v>0</v>
      </c>
      <c r="F67" s="1">
        <f t="shared" si="10"/>
        <v>0</v>
      </c>
      <c r="G67" s="1">
        <v>0</v>
      </c>
      <c r="H67" s="1">
        <f t="shared" si="11"/>
        <v>0</v>
      </c>
      <c r="I67" s="1">
        <v>0</v>
      </c>
      <c r="J67" s="1">
        <f t="shared" si="12"/>
        <v>0</v>
      </c>
      <c r="K67" s="1">
        <f t="shared" si="13"/>
        <v>0</v>
      </c>
      <c r="L67" s="1">
        <f t="shared" si="14"/>
        <v>0</v>
      </c>
      <c r="M67" s="10" t="s">
        <v>677</v>
      </c>
      <c r="N67" s="10" t="s">
        <v>677</v>
      </c>
      <c r="O67" s="10" t="s">
        <v>677</v>
      </c>
      <c r="P67" s="10" t="s">
        <v>677</v>
      </c>
      <c r="AU67" s="7"/>
      <c r="AV67" s="28">
        <v>0</v>
      </c>
      <c r="AW67" s="3" t="s">
        <v>677</v>
      </c>
    </row>
    <row r="68" spans="1:49" ht="28.5" customHeight="1" x14ac:dyDescent="0.3">
      <c r="A68" s="10" t="s">
        <v>677</v>
      </c>
      <c r="B68" s="10" t="s">
        <v>677</v>
      </c>
      <c r="C68" s="10" t="s">
        <v>677</v>
      </c>
      <c r="D68" s="1">
        <v>0</v>
      </c>
      <c r="E68" s="1">
        <v>0</v>
      </c>
      <c r="F68" s="1">
        <f t="shared" si="10"/>
        <v>0</v>
      </c>
      <c r="G68" s="1">
        <v>0</v>
      </c>
      <c r="H68" s="1">
        <f t="shared" si="11"/>
        <v>0</v>
      </c>
      <c r="I68" s="1">
        <v>0</v>
      </c>
      <c r="J68" s="1">
        <f t="shared" si="12"/>
        <v>0</v>
      </c>
      <c r="K68" s="1">
        <f t="shared" si="13"/>
        <v>0</v>
      </c>
      <c r="L68" s="1">
        <f t="shared" si="14"/>
        <v>0</v>
      </c>
      <c r="M68" s="10" t="s">
        <v>677</v>
      </c>
      <c r="N68" s="10" t="s">
        <v>677</v>
      </c>
      <c r="O68" s="10" t="s">
        <v>677</v>
      </c>
      <c r="P68" s="10" t="s">
        <v>677</v>
      </c>
      <c r="AU68" s="7"/>
      <c r="AV68" s="28">
        <v>0</v>
      </c>
      <c r="AW68" s="3" t="s">
        <v>677</v>
      </c>
    </row>
    <row r="69" spans="1:49" ht="28.5" customHeight="1" x14ac:dyDescent="0.3">
      <c r="A69" s="10" t="s">
        <v>677</v>
      </c>
      <c r="B69" s="10" t="s">
        <v>677</v>
      </c>
      <c r="C69" s="10" t="s">
        <v>677</v>
      </c>
      <c r="D69" s="1">
        <v>0</v>
      </c>
      <c r="E69" s="1">
        <v>0</v>
      </c>
      <c r="F69" s="1">
        <f t="shared" si="10"/>
        <v>0</v>
      </c>
      <c r="G69" s="1">
        <v>0</v>
      </c>
      <c r="H69" s="1">
        <f t="shared" si="11"/>
        <v>0</v>
      </c>
      <c r="I69" s="1">
        <v>0</v>
      </c>
      <c r="J69" s="1">
        <f t="shared" si="12"/>
        <v>0</v>
      </c>
      <c r="K69" s="1">
        <f t="shared" si="13"/>
        <v>0</v>
      </c>
      <c r="L69" s="1">
        <f t="shared" si="14"/>
        <v>0</v>
      </c>
      <c r="M69" s="10" t="s">
        <v>677</v>
      </c>
      <c r="N69" s="10" t="s">
        <v>677</v>
      </c>
      <c r="O69" s="10" t="s">
        <v>677</v>
      </c>
      <c r="P69" s="10" t="s">
        <v>677</v>
      </c>
      <c r="AU69" s="7"/>
      <c r="AV69" s="28">
        <v>0</v>
      </c>
      <c r="AW69" s="3" t="s">
        <v>677</v>
      </c>
    </row>
    <row r="70" spans="1:49" ht="28.5" customHeight="1" x14ac:dyDescent="0.3">
      <c r="A70" s="10" t="s">
        <v>677</v>
      </c>
      <c r="B70" s="10" t="s">
        <v>677</v>
      </c>
      <c r="C70" s="10" t="s">
        <v>677</v>
      </c>
      <c r="D70" s="1">
        <v>0</v>
      </c>
      <c r="E70" s="1">
        <v>0</v>
      </c>
      <c r="F70" s="1">
        <f t="shared" si="10"/>
        <v>0</v>
      </c>
      <c r="G70" s="1">
        <v>0</v>
      </c>
      <c r="H70" s="1">
        <f t="shared" si="11"/>
        <v>0</v>
      </c>
      <c r="I70" s="1">
        <v>0</v>
      </c>
      <c r="J70" s="1">
        <f t="shared" si="12"/>
        <v>0</v>
      </c>
      <c r="K70" s="1">
        <f t="shared" si="13"/>
        <v>0</v>
      </c>
      <c r="L70" s="1">
        <f t="shared" si="14"/>
        <v>0</v>
      </c>
      <c r="M70" s="10" t="s">
        <v>677</v>
      </c>
      <c r="N70" s="10" t="s">
        <v>677</v>
      </c>
      <c r="O70" s="10" t="s">
        <v>677</v>
      </c>
      <c r="P70" s="10" t="s">
        <v>677</v>
      </c>
      <c r="AU70" s="7"/>
      <c r="AV70" s="28">
        <v>0</v>
      </c>
      <c r="AW70" s="3" t="s">
        <v>677</v>
      </c>
    </row>
    <row r="71" spans="1:49" ht="28.5" customHeight="1" x14ac:dyDescent="0.3">
      <c r="A71" s="10" t="s">
        <v>677</v>
      </c>
      <c r="B71" s="10" t="s">
        <v>677</v>
      </c>
      <c r="C71" s="10" t="s">
        <v>677</v>
      </c>
      <c r="D71" s="1">
        <v>0</v>
      </c>
      <c r="E71" s="1">
        <v>0</v>
      </c>
      <c r="F71" s="1">
        <f t="shared" si="10"/>
        <v>0</v>
      </c>
      <c r="G71" s="1">
        <v>0</v>
      </c>
      <c r="H71" s="1">
        <f t="shared" si="11"/>
        <v>0</v>
      </c>
      <c r="I71" s="1">
        <v>0</v>
      </c>
      <c r="J71" s="1">
        <f t="shared" si="12"/>
        <v>0</v>
      </c>
      <c r="K71" s="1">
        <f t="shared" si="13"/>
        <v>0</v>
      </c>
      <c r="L71" s="1">
        <f t="shared" si="14"/>
        <v>0</v>
      </c>
      <c r="M71" s="10" t="s">
        <v>677</v>
      </c>
      <c r="N71" s="10" t="s">
        <v>677</v>
      </c>
      <c r="O71" s="10" t="s">
        <v>677</v>
      </c>
      <c r="P71" s="10" t="s">
        <v>677</v>
      </c>
      <c r="AU71" s="7"/>
      <c r="AV71" s="28">
        <v>0</v>
      </c>
      <c r="AW71" s="3" t="s">
        <v>677</v>
      </c>
    </row>
    <row r="72" spans="1:49" ht="28.5" customHeight="1" x14ac:dyDescent="0.3">
      <c r="A72" s="10" t="s">
        <v>677</v>
      </c>
      <c r="B72" s="10" t="s">
        <v>677</v>
      </c>
      <c r="C72" s="10" t="s">
        <v>677</v>
      </c>
      <c r="D72" s="1">
        <v>0</v>
      </c>
      <c r="E72" s="1">
        <v>0</v>
      </c>
      <c r="F72" s="1">
        <f t="shared" si="10"/>
        <v>0</v>
      </c>
      <c r="G72" s="1">
        <v>0</v>
      </c>
      <c r="H72" s="1">
        <f t="shared" si="11"/>
        <v>0</v>
      </c>
      <c r="I72" s="1">
        <v>0</v>
      </c>
      <c r="J72" s="1">
        <f t="shared" si="12"/>
        <v>0</v>
      </c>
      <c r="K72" s="1">
        <f t="shared" si="13"/>
        <v>0</v>
      </c>
      <c r="L72" s="1">
        <f t="shared" si="14"/>
        <v>0</v>
      </c>
      <c r="M72" s="10" t="s">
        <v>677</v>
      </c>
      <c r="N72" s="10" t="s">
        <v>677</v>
      </c>
      <c r="O72" s="10" t="s">
        <v>677</v>
      </c>
      <c r="P72" s="10" t="s">
        <v>677</v>
      </c>
      <c r="AU72" s="7"/>
      <c r="AV72" s="28">
        <v>0</v>
      </c>
      <c r="AW72" s="3" t="s">
        <v>677</v>
      </c>
    </row>
    <row r="73" spans="1:49" ht="28.5" customHeight="1" x14ac:dyDescent="0.3">
      <c r="A73" s="10" t="s">
        <v>677</v>
      </c>
      <c r="B73" s="10" t="s">
        <v>677</v>
      </c>
      <c r="C73" s="10" t="s">
        <v>677</v>
      </c>
      <c r="D73" s="1">
        <v>0</v>
      </c>
      <c r="E73" s="1">
        <v>0</v>
      </c>
      <c r="F73" s="1">
        <f t="shared" si="10"/>
        <v>0</v>
      </c>
      <c r="G73" s="1">
        <v>0</v>
      </c>
      <c r="H73" s="1">
        <f t="shared" si="11"/>
        <v>0</v>
      </c>
      <c r="I73" s="1">
        <v>0</v>
      </c>
      <c r="J73" s="1">
        <f t="shared" si="12"/>
        <v>0</v>
      </c>
      <c r="K73" s="1">
        <f t="shared" si="13"/>
        <v>0</v>
      </c>
      <c r="L73" s="1">
        <f t="shared" si="14"/>
        <v>0</v>
      </c>
      <c r="M73" s="10" t="s">
        <v>677</v>
      </c>
      <c r="N73" s="10" t="s">
        <v>677</v>
      </c>
      <c r="O73" s="10" t="s">
        <v>677</v>
      </c>
      <c r="P73" s="10" t="s">
        <v>677</v>
      </c>
      <c r="AU73" s="7"/>
      <c r="AV73" s="28">
        <v>0</v>
      </c>
      <c r="AW73" s="3" t="s">
        <v>677</v>
      </c>
    </row>
    <row r="74" spans="1:49" ht="28.5" customHeight="1" x14ac:dyDescent="0.3">
      <c r="A74" s="10" t="s">
        <v>677</v>
      </c>
      <c r="B74" s="10" t="s">
        <v>677</v>
      </c>
      <c r="C74" s="10" t="s">
        <v>677</v>
      </c>
      <c r="D74" s="1">
        <v>0</v>
      </c>
      <c r="E74" s="1">
        <v>0</v>
      </c>
      <c r="F74" s="1">
        <f t="shared" si="10"/>
        <v>0</v>
      </c>
      <c r="G74" s="1">
        <v>0</v>
      </c>
      <c r="H74" s="1">
        <f t="shared" si="11"/>
        <v>0</v>
      </c>
      <c r="I74" s="1">
        <v>0</v>
      </c>
      <c r="J74" s="1">
        <f t="shared" si="12"/>
        <v>0</v>
      </c>
      <c r="K74" s="1">
        <f t="shared" si="13"/>
        <v>0</v>
      </c>
      <c r="L74" s="1">
        <f t="shared" si="14"/>
        <v>0</v>
      </c>
      <c r="M74" s="10" t="s">
        <v>677</v>
      </c>
      <c r="N74" s="10" t="s">
        <v>677</v>
      </c>
      <c r="O74" s="10" t="s">
        <v>677</v>
      </c>
      <c r="P74" s="10" t="s">
        <v>677</v>
      </c>
      <c r="AU74" s="7"/>
      <c r="AV74" s="28">
        <v>0</v>
      </c>
      <c r="AW74" s="3" t="s">
        <v>677</v>
      </c>
    </row>
    <row r="75" spans="1:49" ht="28.5" customHeight="1" x14ac:dyDescent="0.3">
      <c r="A75" s="10" t="s">
        <v>677</v>
      </c>
      <c r="B75" s="10" t="s">
        <v>677</v>
      </c>
      <c r="C75" s="10" t="s">
        <v>677</v>
      </c>
      <c r="D75" s="1">
        <v>0</v>
      </c>
      <c r="E75" s="1">
        <v>0</v>
      </c>
      <c r="F75" s="1">
        <f t="shared" si="10"/>
        <v>0</v>
      </c>
      <c r="G75" s="1">
        <v>0</v>
      </c>
      <c r="H75" s="1">
        <f t="shared" si="11"/>
        <v>0</v>
      </c>
      <c r="I75" s="1">
        <v>0</v>
      </c>
      <c r="J75" s="1">
        <f t="shared" si="12"/>
        <v>0</v>
      </c>
      <c r="K75" s="1">
        <f t="shared" si="13"/>
        <v>0</v>
      </c>
      <c r="L75" s="1">
        <f t="shared" si="14"/>
        <v>0</v>
      </c>
      <c r="M75" s="10" t="s">
        <v>677</v>
      </c>
      <c r="N75" s="10" t="s">
        <v>677</v>
      </c>
      <c r="O75" s="10" t="s">
        <v>677</v>
      </c>
      <c r="P75" s="10" t="s">
        <v>677</v>
      </c>
      <c r="AU75" s="7"/>
      <c r="AV75" s="28">
        <v>0</v>
      </c>
      <c r="AW75" s="3" t="s">
        <v>677</v>
      </c>
    </row>
    <row r="76" spans="1:49" ht="28.5" customHeight="1" x14ac:dyDescent="0.3">
      <c r="A76" s="10" t="s">
        <v>677</v>
      </c>
      <c r="B76" s="10" t="s">
        <v>677</v>
      </c>
      <c r="C76" s="10" t="s">
        <v>677</v>
      </c>
      <c r="D76" s="1">
        <v>0</v>
      </c>
      <c r="E76" s="1">
        <v>0</v>
      </c>
      <c r="F76" s="1">
        <f t="shared" si="10"/>
        <v>0</v>
      </c>
      <c r="G76" s="1">
        <v>0</v>
      </c>
      <c r="H76" s="1">
        <f t="shared" si="11"/>
        <v>0</v>
      </c>
      <c r="I76" s="1">
        <v>0</v>
      </c>
      <c r="J76" s="1">
        <f t="shared" si="12"/>
        <v>0</v>
      </c>
      <c r="K76" s="1">
        <f t="shared" si="13"/>
        <v>0</v>
      </c>
      <c r="L76" s="1">
        <f t="shared" si="14"/>
        <v>0</v>
      </c>
      <c r="M76" s="10" t="s">
        <v>677</v>
      </c>
      <c r="N76" s="10" t="s">
        <v>677</v>
      </c>
      <c r="O76" s="10" t="s">
        <v>677</v>
      </c>
      <c r="P76" s="10" t="s">
        <v>677</v>
      </c>
      <c r="AU76" s="7"/>
      <c r="AV76" s="28">
        <v>0</v>
      </c>
      <c r="AW76" s="3" t="s">
        <v>677</v>
      </c>
    </row>
    <row r="77" spans="1:49" ht="28.5" customHeight="1" x14ac:dyDescent="0.3">
      <c r="A77" s="10" t="s">
        <v>677</v>
      </c>
      <c r="B77" s="10" t="s">
        <v>677</v>
      </c>
      <c r="C77" s="10" t="s">
        <v>677</v>
      </c>
      <c r="D77" s="1">
        <v>0</v>
      </c>
      <c r="E77" s="1">
        <v>0</v>
      </c>
      <c r="F77" s="1">
        <f t="shared" si="10"/>
        <v>0</v>
      </c>
      <c r="G77" s="1">
        <v>0</v>
      </c>
      <c r="H77" s="1">
        <f t="shared" si="11"/>
        <v>0</v>
      </c>
      <c r="I77" s="1">
        <v>0</v>
      </c>
      <c r="J77" s="1">
        <f t="shared" si="12"/>
        <v>0</v>
      </c>
      <c r="K77" s="1">
        <f t="shared" si="13"/>
        <v>0</v>
      </c>
      <c r="L77" s="1">
        <f t="shared" si="14"/>
        <v>0</v>
      </c>
      <c r="M77" s="10" t="s">
        <v>677</v>
      </c>
      <c r="N77" s="10" t="s">
        <v>677</v>
      </c>
      <c r="O77" s="10" t="s">
        <v>677</v>
      </c>
      <c r="P77" s="10" t="s">
        <v>677</v>
      </c>
      <c r="AU77" s="7"/>
      <c r="AV77" s="28">
        <v>0</v>
      </c>
      <c r="AW77" s="3" t="s">
        <v>677</v>
      </c>
    </row>
    <row r="78" spans="1:49" ht="28.5" customHeight="1" x14ac:dyDescent="0.3">
      <c r="A78" s="10" t="s">
        <v>677</v>
      </c>
      <c r="B78" s="10" t="s">
        <v>677</v>
      </c>
      <c r="C78" s="10" t="s">
        <v>677</v>
      </c>
      <c r="D78" s="1">
        <v>0</v>
      </c>
      <c r="E78" s="1">
        <v>0</v>
      </c>
      <c r="F78" s="1">
        <f t="shared" si="10"/>
        <v>0</v>
      </c>
      <c r="G78" s="1">
        <v>0</v>
      </c>
      <c r="H78" s="1">
        <f t="shared" si="11"/>
        <v>0</v>
      </c>
      <c r="I78" s="1">
        <v>0</v>
      </c>
      <c r="J78" s="1">
        <f t="shared" si="12"/>
        <v>0</v>
      </c>
      <c r="K78" s="1">
        <f t="shared" si="13"/>
        <v>0</v>
      </c>
      <c r="L78" s="1">
        <f t="shared" si="14"/>
        <v>0</v>
      </c>
      <c r="M78" s="10" t="s">
        <v>677</v>
      </c>
      <c r="N78" s="10" t="s">
        <v>677</v>
      </c>
      <c r="O78" s="10" t="s">
        <v>677</v>
      </c>
      <c r="P78" s="10" t="s">
        <v>677</v>
      </c>
      <c r="AU78" s="7"/>
      <c r="AV78" s="28">
        <v>0</v>
      </c>
      <c r="AW78" s="3" t="s">
        <v>677</v>
      </c>
    </row>
    <row r="79" spans="1:49" ht="28.5" customHeight="1" x14ac:dyDescent="0.3">
      <c r="A79" s="10" t="s">
        <v>677</v>
      </c>
      <c r="B79" s="10" t="s">
        <v>677</v>
      </c>
      <c r="C79" s="10" t="s">
        <v>677</v>
      </c>
      <c r="D79" s="1">
        <v>0</v>
      </c>
      <c r="E79" s="1">
        <v>0</v>
      </c>
      <c r="F79" s="1">
        <f t="shared" si="10"/>
        <v>0</v>
      </c>
      <c r="G79" s="1">
        <v>0</v>
      </c>
      <c r="H79" s="1">
        <f t="shared" si="11"/>
        <v>0</v>
      </c>
      <c r="I79" s="1">
        <v>0</v>
      </c>
      <c r="J79" s="1">
        <f t="shared" si="12"/>
        <v>0</v>
      </c>
      <c r="K79" s="1">
        <f t="shared" si="13"/>
        <v>0</v>
      </c>
      <c r="L79" s="1">
        <f t="shared" si="14"/>
        <v>0</v>
      </c>
      <c r="M79" s="10" t="s">
        <v>677</v>
      </c>
      <c r="N79" s="10" t="s">
        <v>677</v>
      </c>
      <c r="O79" s="10" t="s">
        <v>677</v>
      </c>
      <c r="P79" s="10" t="s">
        <v>677</v>
      </c>
      <c r="AU79" s="7"/>
      <c r="AV79" s="28">
        <v>0</v>
      </c>
      <c r="AW79" s="3" t="s">
        <v>677</v>
      </c>
    </row>
    <row r="80" spans="1:49" ht="28.5" customHeight="1" x14ac:dyDescent="0.3">
      <c r="A80" s="10" t="s">
        <v>677</v>
      </c>
      <c r="B80" s="10" t="s">
        <v>677</v>
      </c>
      <c r="C80" s="10" t="s">
        <v>677</v>
      </c>
      <c r="D80" s="1">
        <v>0</v>
      </c>
      <c r="E80" s="1">
        <v>0</v>
      </c>
      <c r="F80" s="1">
        <f t="shared" si="10"/>
        <v>0</v>
      </c>
      <c r="G80" s="1">
        <v>0</v>
      </c>
      <c r="H80" s="1">
        <f t="shared" si="11"/>
        <v>0</v>
      </c>
      <c r="I80" s="1">
        <v>0</v>
      </c>
      <c r="J80" s="1">
        <f t="shared" si="12"/>
        <v>0</v>
      </c>
      <c r="K80" s="1">
        <f t="shared" si="13"/>
        <v>0</v>
      </c>
      <c r="L80" s="1">
        <f t="shared" si="14"/>
        <v>0</v>
      </c>
      <c r="M80" s="10" t="s">
        <v>677</v>
      </c>
      <c r="N80" s="10" t="s">
        <v>677</v>
      </c>
      <c r="O80" s="10" t="s">
        <v>677</v>
      </c>
      <c r="P80" s="10" t="s">
        <v>677</v>
      </c>
      <c r="AU80" s="7"/>
      <c r="AV80" s="28">
        <v>0</v>
      </c>
      <c r="AW80" s="3" t="s">
        <v>677</v>
      </c>
    </row>
    <row r="81" spans="1:49" ht="28.5" customHeight="1" x14ac:dyDescent="0.3">
      <c r="A81" s="10" t="s">
        <v>109</v>
      </c>
      <c r="B81" s="10" t="s">
        <v>677</v>
      </c>
      <c r="C81" s="10" t="s">
        <v>677</v>
      </c>
      <c r="D81" s="10" t="s">
        <v>677</v>
      </c>
      <c r="E81" s="27">
        <v>0</v>
      </c>
      <c r="F81" s="1">
        <f>TRUNC(SUMIF(Q58:Q80, Q57,F58:F80),0)</f>
        <v>2116176</v>
      </c>
      <c r="G81" s="1">
        <v>0</v>
      </c>
      <c r="H81" s="1">
        <f>TRUNC(SUMIF(Q58:Q80, Q57,H58:H80),0)</f>
        <v>1958846</v>
      </c>
      <c r="I81" s="1">
        <v>0</v>
      </c>
      <c r="J81" s="1">
        <f>TRUNC(SUMIF(Q58:Q80, Q57,J58:J80),0)</f>
        <v>233056</v>
      </c>
      <c r="K81" s="12" t="s">
        <v>677</v>
      </c>
      <c r="L81" s="1">
        <f>F81+H81+J81</f>
        <v>4308078</v>
      </c>
      <c r="M81" s="10"/>
      <c r="AW81" s="10" t="s">
        <v>677</v>
      </c>
    </row>
    <row r="82" spans="1:49" ht="28.5" customHeight="1" x14ac:dyDescent="0.3">
      <c r="A82" s="10" t="s">
        <v>1273</v>
      </c>
      <c r="B82" s="10"/>
      <c r="C82" s="10"/>
      <c r="D82" s="10" t="s">
        <v>677</v>
      </c>
      <c r="E82" s="10" t="s">
        <v>677</v>
      </c>
      <c r="F82" s="10" t="s">
        <v>677</v>
      </c>
      <c r="G82" s="10" t="s">
        <v>677</v>
      </c>
      <c r="H82" s="10" t="s">
        <v>677</v>
      </c>
      <c r="I82" s="10" t="s">
        <v>677</v>
      </c>
      <c r="J82" s="10" t="s">
        <v>677</v>
      </c>
      <c r="K82" s="10" t="s">
        <v>677</v>
      </c>
      <c r="L82" s="10" t="s">
        <v>677</v>
      </c>
      <c r="M82" s="10" t="s">
        <v>677</v>
      </c>
      <c r="N82" s="5" t="s">
        <v>677</v>
      </c>
      <c r="Q82" s="7" t="s">
        <v>469</v>
      </c>
      <c r="R82" s="28">
        <v>400000</v>
      </c>
      <c r="S82" s="28">
        <v>0</v>
      </c>
      <c r="AH82" s="7"/>
      <c r="AW82" s="10" t="s">
        <v>677</v>
      </c>
    </row>
    <row r="83" spans="1:49" ht="28.5" customHeight="1" x14ac:dyDescent="0.3">
      <c r="A83" s="10" t="s">
        <v>742</v>
      </c>
      <c r="B83" s="10" t="s">
        <v>517</v>
      </c>
      <c r="C83" s="10" t="s">
        <v>801</v>
      </c>
      <c r="D83" s="22">
        <v>20.2</v>
      </c>
      <c r="E83" s="1">
        <f>ROUNDDOWN(ROUNDDOWN(단가대비표!U36,0)*AV83/100,0)</f>
        <v>37000</v>
      </c>
      <c r="F83" s="1">
        <f t="shared" ref="F83:F105" si="15">ROUNDDOWN(D83*E83,0)</f>
        <v>747400</v>
      </c>
      <c r="G83" s="1">
        <f>ROUNDDOWN(ROUNDDOWN(단가대비표!V36,0)*AV83/100,0)</f>
        <v>0</v>
      </c>
      <c r="H83" s="1">
        <f t="shared" ref="H83:H105" si="16">ROUNDDOWN(D83*G83,0)</f>
        <v>0</v>
      </c>
      <c r="I83" s="1">
        <f>ROUNDDOWN(ROUNDDOWN(단가대비표!AE36,0)*AV83/100,0)</f>
        <v>0</v>
      </c>
      <c r="J83" s="1">
        <f t="shared" ref="J83:J105" si="17">ROUNDDOWN(D83*I83,0)</f>
        <v>0</v>
      </c>
      <c r="K83" s="1">
        <f t="shared" ref="K83:K105" si="18">ROUNDDOWN(E83+G83+I83,0)</f>
        <v>37000</v>
      </c>
      <c r="L83" s="1">
        <f t="shared" ref="L83:L105" si="19">ROUNDDOWN(F83+H83+J83,0)</f>
        <v>747400</v>
      </c>
      <c r="M83" s="10" t="s">
        <v>677</v>
      </c>
      <c r="N83" s="2" t="str">
        <f>HYPERLINK("#단가대비표!B38", "8900000000086110")</f>
        <v>8900000000086110</v>
      </c>
      <c r="O83" s="7" t="s">
        <v>677</v>
      </c>
      <c r="P83" s="7" t="s">
        <v>677</v>
      </c>
      <c r="Q83" s="7" t="s">
        <v>469</v>
      </c>
      <c r="R83" s="28">
        <v>400000</v>
      </c>
      <c r="S83" s="28">
        <v>10</v>
      </c>
      <c r="T83" s="7" t="s">
        <v>399</v>
      </c>
      <c r="U83" s="7" t="s">
        <v>399</v>
      </c>
      <c r="V83" s="7" t="s">
        <v>731</v>
      </c>
      <c r="W83" s="7" t="s">
        <v>677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4</v>
      </c>
      <c r="AJ83" s="28">
        <v>0</v>
      </c>
      <c r="AK83" s="28"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v>0</v>
      </c>
      <c r="AQ83" s="28">
        <v>0</v>
      </c>
      <c r="AR83" s="28">
        <v>0</v>
      </c>
      <c r="AS83" s="28">
        <v>0</v>
      </c>
      <c r="AT83" s="28">
        <v>0</v>
      </c>
      <c r="AU83" s="7" t="s">
        <v>677</v>
      </c>
      <c r="AV83" s="28">
        <v>100</v>
      </c>
      <c r="AW83" s="3" t="s">
        <v>556</v>
      </c>
    </row>
    <row r="84" spans="1:49" ht="28.5" customHeight="1" x14ac:dyDescent="0.3">
      <c r="A84" s="10" t="s">
        <v>850</v>
      </c>
      <c r="B84" s="10" t="s">
        <v>414</v>
      </c>
      <c r="C84" s="10" t="s">
        <v>71</v>
      </c>
      <c r="D84" s="22">
        <v>0.9</v>
      </c>
      <c r="E84" s="1">
        <f>ROUNDDOWN(ROUNDDOWN(단가대비표!U7,0)*AV84/100,0)</f>
        <v>30000</v>
      </c>
      <c r="F84" s="1">
        <f t="shared" si="15"/>
        <v>27000</v>
      </c>
      <c r="G84" s="1">
        <f>ROUNDDOWN(ROUNDDOWN(단가대비표!V7,0)*AV84/100,0)</f>
        <v>0</v>
      </c>
      <c r="H84" s="1">
        <f t="shared" si="16"/>
        <v>0</v>
      </c>
      <c r="I84" s="1">
        <f>ROUNDDOWN(ROUNDDOWN(단가대비표!AE7,0)*AV84/100,0)</f>
        <v>0</v>
      </c>
      <c r="J84" s="1">
        <f t="shared" si="17"/>
        <v>0</v>
      </c>
      <c r="K84" s="1">
        <f t="shared" si="18"/>
        <v>30000</v>
      </c>
      <c r="L84" s="1">
        <f t="shared" si="19"/>
        <v>27000</v>
      </c>
      <c r="M84" s="10" t="s">
        <v>677</v>
      </c>
      <c r="N84" s="2" t="str">
        <f>HYPERLINK("#단가대비표!B6", "1111161120143101")</f>
        <v>1111161120143101</v>
      </c>
      <c r="O84" s="7" t="s">
        <v>677</v>
      </c>
      <c r="P84" s="7" t="s">
        <v>677</v>
      </c>
      <c r="Q84" s="7" t="s">
        <v>469</v>
      </c>
      <c r="R84" s="28">
        <v>400000</v>
      </c>
      <c r="S84" s="28">
        <v>20</v>
      </c>
      <c r="T84" s="7" t="s">
        <v>399</v>
      </c>
      <c r="U84" s="7" t="s">
        <v>399</v>
      </c>
      <c r="V84" s="7" t="s">
        <v>731</v>
      </c>
      <c r="W84" s="7" t="s">
        <v>677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4</v>
      </c>
      <c r="AJ84" s="28">
        <v>0</v>
      </c>
      <c r="AK84" s="28"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v>0</v>
      </c>
      <c r="AQ84" s="28">
        <v>0</v>
      </c>
      <c r="AR84" s="28">
        <v>0</v>
      </c>
      <c r="AS84" s="28">
        <v>0</v>
      </c>
      <c r="AT84" s="28">
        <v>0</v>
      </c>
      <c r="AU84" s="7" t="s">
        <v>677</v>
      </c>
      <c r="AV84" s="28">
        <v>100</v>
      </c>
      <c r="AW84" s="3" t="s">
        <v>432</v>
      </c>
    </row>
    <row r="85" spans="1:49" ht="28.5" customHeight="1" x14ac:dyDescent="0.3">
      <c r="A85" s="10" t="s">
        <v>36</v>
      </c>
      <c r="B85" s="10" t="s">
        <v>1011</v>
      </c>
      <c r="C85" s="10" t="s">
        <v>71</v>
      </c>
      <c r="D85" s="22">
        <v>0.9</v>
      </c>
      <c r="E85" s="1">
        <f>ROUNDDOWN(ROUNDDOWN(일위대가목록!E11,0)*AV85/100,0)</f>
        <v>1001</v>
      </c>
      <c r="F85" s="1">
        <f t="shared" si="15"/>
        <v>900</v>
      </c>
      <c r="G85" s="1">
        <f>ROUNDDOWN(ROUNDDOWN(일위대가목록!F11,0)*AV85/100,0)</f>
        <v>5360</v>
      </c>
      <c r="H85" s="1">
        <f t="shared" si="16"/>
        <v>4824</v>
      </c>
      <c r="I85" s="1">
        <f>ROUNDDOWN(ROUNDDOWN(일위대가목록!G11,0)*AV85/100,0)</f>
        <v>930</v>
      </c>
      <c r="J85" s="1">
        <f t="shared" si="17"/>
        <v>837</v>
      </c>
      <c r="K85" s="1">
        <f t="shared" si="18"/>
        <v>7291</v>
      </c>
      <c r="L85" s="1">
        <f t="shared" si="19"/>
        <v>6561</v>
      </c>
      <c r="M85" s="10" t="s">
        <v>677</v>
      </c>
      <c r="N85" s="2" t="str">
        <f>HYPERLINK("#일위대가목록!A11", "ACA200100020")</f>
        <v>ACA200100020</v>
      </c>
      <c r="O85" s="7" t="s">
        <v>677</v>
      </c>
      <c r="P85" s="7" t="s">
        <v>677</v>
      </c>
      <c r="Q85" s="7" t="s">
        <v>469</v>
      </c>
      <c r="R85" s="28">
        <v>400000</v>
      </c>
      <c r="S85" s="28">
        <v>24</v>
      </c>
      <c r="T85" s="7" t="s">
        <v>731</v>
      </c>
      <c r="U85" s="7" t="s">
        <v>399</v>
      </c>
      <c r="V85" s="7" t="s">
        <v>399</v>
      </c>
      <c r="W85" s="7" t="s">
        <v>677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4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8">
        <v>0</v>
      </c>
      <c r="AQ85" s="28">
        <v>0</v>
      </c>
      <c r="AR85" s="28">
        <v>0</v>
      </c>
      <c r="AS85" s="28">
        <v>0</v>
      </c>
      <c r="AT85" s="28">
        <v>0</v>
      </c>
      <c r="AU85" s="7" t="s">
        <v>677</v>
      </c>
      <c r="AV85" s="28">
        <v>100</v>
      </c>
      <c r="AW85" s="3" t="s">
        <v>904</v>
      </c>
    </row>
    <row r="86" spans="1:49" ht="28.5" customHeight="1" x14ac:dyDescent="0.3">
      <c r="A86" s="10" t="s">
        <v>83</v>
      </c>
      <c r="B86" s="10" t="s">
        <v>1122</v>
      </c>
      <c r="C86" s="10" t="s">
        <v>1167</v>
      </c>
      <c r="D86" s="22">
        <v>27.8</v>
      </c>
      <c r="E86" s="1">
        <f>ROUNDDOWN(ROUNDDOWN(일위대가목록!E12,0)*AV86/100,0)</f>
        <v>5125</v>
      </c>
      <c r="F86" s="1">
        <f t="shared" si="15"/>
        <v>142475</v>
      </c>
      <c r="G86" s="1">
        <f>ROUNDDOWN(ROUNDDOWN(일위대가목록!F12,0)*AV86/100,0)</f>
        <v>25093</v>
      </c>
      <c r="H86" s="1">
        <f t="shared" si="16"/>
        <v>697585</v>
      </c>
      <c r="I86" s="1">
        <f>ROUNDDOWN(ROUNDDOWN(일위대가목록!G12,0)*AV86/100,0)</f>
        <v>705</v>
      </c>
      <c r="J86" s="1">
        <f t="shared" si="17"/>
        <v>19599</v>
      </c>
      <c r="K86" s="1">
        <f t="shared" si="18"/>
        <v>30923</v>
      </c>
      <c r="L86" s="1">
        <f t="shared" si="19"/>
        <v>859659</v>
      </c>
      <c r="M86" s="10" t="s">
        <v>677</v>
      </c>
      <c r="N86" s="2" t="str">
        <f>HYPERLINK("#일위대가목록!A12", "APC260300000")</f>
        <v>APC260300000</v>
      </c>
      <c r="O86" s="7" t="s">
        <v>677</v>
      </c>
      <c r="P86" s="7" t="s">
        <v>677</v>
      </c>
      <c r="Q86" s="7" t="s">
        <v>469</v>
      </c>
      <c r="R86" s="28">
        <v>400000</v>
      </c>
      <c r="S86" s="28">
        <v>29</v>
      </c>
      <c r="T86" s="7" t="s">
        <v>731</v>
      </c>
      <c r="U86" s="7" t="s">
        <v>399</v>
      </c>
      <c r="V86" s="7" t="s">
        <v>399</v>
      </c>
      <c r="W86" s="7" t="s">
        <v>677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4</v>
      </c>
      <c r="AJ86" s="28">
        <v>0</v>
      </c>
      <c r="AK86" s="28"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  <c r="AS86" s="28">
        <v>0</v>
      </c>
      <c r="AT86" s="28">
        <v>0</v>
      </c>
      <c r="AU86" s="7" t="s">
        <v>677</v>
      </c>
      <c r="AV86" s="28">
        <v>100</v>
      </c>
      <c r="AW86" s="3" t="s">
        <v>282</v>
      </c>
    </row>
    <row r="87" spans="1:49" ht="28.5" customHeight="1" x14ac:dyDescent="0.3">
      <c r="A87" s="10" t="s">
        <v>1290</v>
      </c>
      <c r="B87" s="10" t="s">
        <v>1159</v>
      </c>
      <c r="C87" s="10" t="s">
        <v>71</v>
      </c>
      <c r="D87" s="22">
        <v>0.28000000000000003</v>
      </c>
      <c r="E87" s="1">
        <f>ROUNDDOWN(ROUNDDOWN(단가대비표!U15,0)*AV87/100,0)</f>
        <v>1856280</v>
      </c>
      <c r="F87" s="1">
        <f t="shared" si="15"/>
        <v>519758</v>
      </c>
      <c r="G87" s="1">
        <f>ROUNDDOWN(ROUNDDOWN(단가대비표!V15,0)*AV87/100,0)</f>
        <v>0</v>
      </c>
      <c r="H87" s="1">
        <f t="shared" si="16"/>
        <v>0</v>
      </c>
      <c r="I87" s="1">
        <f>ROUNDDOWN(ROUNDDOWN(단가대비표!AE15,0)*AV87/100,0)</f>
        <v>0</v>
      </c>
      <c r="J87" s="1">
        <f t="shared" si="17"/>
        <v>0</v>
      </c>
      <c r="K87" s="1">
        <f t="shared" si="18"/>
        <v>1856280</v>
      </c>
      <c r="L87" s="1">
        <f t="shared" si="19"/>
        <v>519758</v>
      </c>
      <c r="M87" s="10" t="s">
        <v>677</v>
      </c>
      <c r="N87" s="36" t="str">
        <f>HYPERLINK("#단가대비표!B15", "3010360410400021")</f>
        <v>3010360410400021</v>
      </c>
      <c r="O87" s="7" t="s">
        <v>677</v>
      </c>
      <c r="P87" s="7" t="s">
        <v>677</v>
      </c>
      <c r="Q87" s="7" t="s">
        <v>469</v>
      </c>
      <c r="R87" s="28">
        <v>400000</v>
      </c>
      <c r="S87" s="28">
        <v>60</v>
      </c>
      <c r="T87" s="7" t="s">
        <v>399</v>
      </c>
      <c r="U87" s="7" t="s">
        <v>399</v>
      </c>
      <c r="V87" s="7" t="s">
        <v>731</v>
      </c>
      <c r="W87" s="7" t="s">
        <v>677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4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7" t="s">
        <v>677</v>
      </c>
      <c r="AV87" s="28">
        <v>100</v>
      </c>
      <c r="AW87" s="3" t="s">
        <v>931</v>
      </c>
    </row>
    <row r="88" spans="1:49" ht="28.5" customHeight="1" x14ac:dyDescent="0.3">
      <c r="A88" s="10" t="s">
        <v>1162</v>
      </c>
      <c r="B88" s="10"/>
      <c r="C88" s="10" t="s">
        <v>1160</v>
      </c>
      <c r="D88" s="22">
        <v>0.28000000000000003</v>
      </c>
      <c r="E88" s="1">
        <f>ROUNDDOWN(ROUNDDOWN(단가대비표!U29,0)*AV88/100,0)</f>
        <v>210000</v>
      </c>
      <c r="F88" s="1">
        <f t="shared" ref="F88" si="20">ROUNDDOWN(D88*E88,0)</f>
        <v>58800</v>
      </c>
      <c r="G88" s="1">
        <f>ROUNDDOWN(ROUNDDOWN(단가대비표!V29,0)*AV88/100,0)</f>
        <v>0</v>
      </c>
      <c r="H88" s="1">
        <f t="shared" ref="H88" si="21">ROUNDDOWN(D88*G88,0)</f>
        <v>0</v>
      </c>
      <c r="I88" s="1">
        <f>ROUNDDOWN(ROUNDDOWN(단가대비표!AE29,0)*AV88/100,0)</f>
        <v>0</v>
      </c>
      <c r="J88" s="1">
        <f t="shared" ref="J88" si="22">ROUNDDOWN(D88*I88,0)</f>
        <v>0</v>
      </c>
      <c r="K88" s="1">
        <f t="shared" ref="K88" si="23">ROUNDDOWN(E88+G88+I88,0)</f>
        <v>210000</v>
      </c>
      <c r="L88" s="1">
        <f t="shared" ref="L88" si="24">ROUNDDOWN(F88+H88+J88,0)</f>
        <v>58800</v>
      </c>
      <c r="M88" s="10" t="s">
        <v>677</v>
      </c>
      <c r="N88" s="36" t="str">
        <f>HYPERLINK("#단가대비표!B29", "3010360410400021")</f>
        <v>3010360410400021</v>
      </c>
      <c r="O88" s="7" t="s">
        <v>677</v>
      </c>
      <c r="P88" s="7" t="s">
        <v>677</v>
      </c>
      <c r="Q88" s="7" t="s">
        <v>469</v>
      </c>
      <c r="R88" s="28">
        <v>400000</v>
      </c>
      <c r="S88" s="28">
        <v>60</v>
      </c>
      <c r="T88" s="7" t="s">
        <v>399</v>
      </c>
      <c r="U88" s="7" t="s">
        <v>399</v>
      </c>
      <c r="V88" s="7" t="s">
        <v>731</v>
      </c>
      <c r="W88" s="7" t="s">
        <v>677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4</v>
      </c>
      <c r="AJ88" s="28">
        <v>0</v>
      </c>
      <c r="AK88" s="28"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7" t="s">
        <v>677</v>
      </c>
      <c r="AV88" s="28">
        <v>100</v>
      </c>
      <c r="AW88" s="3" t="s">
        <v>1164</v>
      </c>
    </row>
    <row r="89" spans="1:49" ht="28.5" customHeight="1" x14ac:dyDescent="0.3">
      <c r="A89" s="10" t="s">
        <v>1275</v>
      </c>
      <c r="B89" s="10" t="s">
        <v>1049</v>
      </c>
      <c r="C89" s="10" t="s">
        <v>801</v>
      </c>
      <c r="D89" s="22">
        <v>16.600000000000001</v>
      </c>
      <c r="E89" s="1">
        <f>ROUNDDOWN(ROUNDDOWN(일위대가목록!E14,0)*AV89/100,0)</f>
        <v>982</v>
      </c>
      <c r="F89" s="1">
        <f t="shared" si="15"/>
        <v>16301</v>
      </c>
      <c r="G89" s="1">
        <f>ROUNDDOWN(ROUNDDOWN(일위대가목록!F14,0)*AV89/100,0)</f>
        <v>49124</v>
      </c>
      <c r="H89" s="1">
        <f t="shared" si="16"/>
        <v>815458</v>
      </c>
      <c r="I89" s="1">
        <f>ROUNDDOWN(ROUNDDOWN(일위대가목록!G14,0)*AV89/100,0)</f>
        <v>0</v>
      </c>
      <c r="J89" s="1">
        <f t="shared" si="17"/>
        <v>0</v>
      </c>
      <c r="K89" s="1">
        <f t="shared" si="18"/>
        <v>50106</v>
      </c>
      <c r="L89" s="1">
        <f t="shared" si="19"/>
        <v>831759</v>
      </c>
      <c r="M89" s="10"/>
      <c r="N89" s="2" t="str">
        <f>HYPERLINK("#일위대가목록!A14", "AIC10000030S")</f>
        <v>AIC10000030S</v>
      </c>
      <c r="O89" s="7" t="s">
        <v>677</v>
      </c>
      <c r="P89" s="7" t="s">
        <v>677</v>
      </c>
      <c r="Q89" s="7" t="s">
        <v>469</v>
      </c>
      <c r="R89" s="28">
        <v>400000</v>
      </c>
      <c r="S89" s="28">
        <v>67</v>
      </c>
      <c r="T89" s="7" t="s">
        <v>731</v>
      </c>
      <c r="U89" s="7" t="s">
        <v>399</v>
      </c>
      <c r="V89" s="7" t="s">
        <v>399</v>
      </c>
      <c r="W89" s="7" t="s">
        <v>677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4</v>
      </c>
      <c r="AJ89" s="28">
        <v>0</v>
      </c>
      <c r="AK89" s="28"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v>0</v>
      </c>
      <c r="AQ89" s="28">
        <v>0</v>
      </c>
      <c r="AR89" s="28">
        <v>0</v>
      </c>
      <c r="AS89" s="28">
        <v>0</v>
      </c>
      <c r="AT89" s="28">
        <v>0</v>
      </c>
      <c r="AU89" s="7" t="s">
        <v>677</v>
      </c>
      <c r="AV89" s="28">
        <v>100</v>
      </c>
      <c r="AW89" s="3" t="s">
        <v>334</v>
      </c>
    </row>
    <row r="90" spans="1:49" ht="28.5" customHeight="1" x14ac:dyDescent="0.3">
      <c r="A90" s="10" t="s">
        <v>1274</v>
      </c>
      <c r="B90" s="10" t="s">
        <v>497</v>
      </c>
      <c r="C90" s="10" t="s">
        <v>242</v>
      </c>
      <c r="D90" s="22">
        <v>16.600000000000001</v>
      </c>
      <c r="E90" s="1">
        <f>ROUNDDOWN(ROUNDDOWN(단가대비표!U32,0)*AV90/100,0)</f>
        <v>14900</v>
      </c>
      <c r="F90" s="1">
        <f t="shared" si="15"/>
        <v>247340</v>
      </c>
      <c r="G90" s="1">
        <f>ROUNDDOWN(ROUNDDOWN(단가대비표!V32,0)*AV90/100,0)</f>
        <v>0</v>
      </c>
      <c r="H90" s="1">
        <f t="shared" si="16"/>
        <v>0</v>
      </c>
      <c r="I90" s="1">
        <f>ROUNDDOWN(ROUNDDOWN(단가대비표!AE32,0)*AV90/100,0)</f>
        <v>0</v>
      </c>
      <c r="J90" s="1">
        <f t="shared" si="17"/>
        <v>0</v>
      </c>
      <c r="K90" s="1">
        <f t="shared" si="18"/>
        <v>14900</v>
      </c>
      <c r="L90" s="1">
        <f t="shared" si="19"/>
        <v>247340</v>
      </c>
      <c r="M90" s="10" t="s">
        <v>677</v>
      </c>
      <c r="N90" s="2" t="str">
        <f>HYPERLINK("#단가대비표!B34", "4014218623002252")</f>
        <v>4014218623002252</v>
      </c>
      <c r="O90" s="7" t="s">
        <v>677</v>
      </c>
      <c r="P90" s="7" t="s">
        <v>677</v>
      </c>
      <c r="Q90" s="7" t="s">
        <v>469</v>
      </c>
      <c r="R90" s="28">
        <v>400000</v>
      </c>
      <c r="S90" s="28">
        <v>70</v>
      </c>
      <c r="T90" s="7" t="s">
        <v>399</v>
      </c>
      <c r="U90" s="7" t="s">
        <v>399</v>
      </c>
      <c r="V90" s="7" t="s">
        <v>731</v>
      </c>
      <c r="W90" s="7" t="s">
        <v>677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4</v>
      </c>
      <c r="AJ90" s="28">
        <v>0</v>
      </c>
      <c r="AK90" s="28"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v>0</v>
      </c>
      <c r="AQ90" s="28">
        <v>0</v>
      </c>
      <c r="AR90" s="28">
        <v>0</v>
      </c>
      <c r="AS90" s="28">
        <v>0</v>
      </c>
      <c r="AT90" s="28">
        <v>0</v>
      </c>
      <c r="AU90" s="7" t="s">
        <v>677</v>
      </c>
      <c r="AV90" s="28">
        <v>100</v>
      </c>
      <c r="AW90" s="3" t="s">
        <v>662</v>
      </c>
    </row>
    <row r="91" spans="1:49" ht="28.5" customHeight="1" x14ac:dyDescent="0.3">
      <c r="A91" s="10" t="s">
        <v>1133</v>
      </c>
      <c r="B91" s="10" t="s">
        <v>1135</v>
      </c>
      <c r="C91" s="10" t="s">
        <v>1130</v>
      </c>
      <c r="D91" s="22">
        <v>10</v>
      </c>
      <c r="E91" s="1">
        <f>ROUNDDOWN(ROUNDDOWN(일위대가목록!E15,0)*AV91/100,0)</f>
        <v>3605</v>
      </c>
      <c r="F91" s="1">
        <f t="shared" si="15"/>
        <v>36050</v>
      </c>
      <c r="G91" s="1">
        <f>ROUNDDOWN(ROUNDDOWN(일위대가목록!F15,0)*AV91/100,0)</f>
        <v>8416</v>
      </c>
      <c r="H91" s="1">
        <f t="shared" si="16"/>
        <v>84160</v>
      </c>
      <c r="I91" s="1">
        <f>ROUNDDOWN(ROUNDDOWN(일위대가목록!G15,0)*AV91/100,0)</f>
        <v>0</v>
      </c>
      <c r="J91" s="1">
        <f t="shared" si="17"/>
        <v>0</v>
      </c>
      <c r="K91" s="1">
        <f t="shared" si="18"/>
        <v>12021</v>
      </c>
      <c r="L91" s="1">
        <f t="shared" si="19"/>
        <v>120210</v>
      </c>
      <c r="M91" s="10" t="s">
        <v>677</v>
      </c>
      <c r="N91" s="2" t="str">
        <f>HYPERLINK("#일위대가목록!A15", "AFR620300000")</f>
        <v>AFR620300000</v>
      </c>
      <c r="O91" s="7" t="s">
        <v>677</v>
      </c>
      <c r="P91" s="7" t="s">
        <v>677</v>
      </c>
      <c r="Q91" s="7" t="s">
        <v>469</v>
      </c>
      <c r="R91" s="28">
        <v>400000</v>
      </c>
      <c r="S91" s="28">
        <v>85</v>
      </c>
      <c r="T91" s="7" t="s">
        <v>731</v>
      </c>
      <c r="U91" s="7" t="s">
        <v>399</v>
      </c>
      <c r="V91" s="7" t="s">
        <v>399</v>
      </c>
      <c r="W91" s="7" t="s">
        <v>677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4</v>
      </c>
      <c r="AJ91" s="28">
        <v>0</v>
      </c>
      <c r="AK91" s="28">
        <v>0</v>
      </c>
      <c r="AL91" s="28">
        <v>0</v>
      </c>
      <c r="AM91" s="28">
        <v>0</v>
      </c>
      <c r="AN91" s="28">
        <v>0</v>
      </c>
      <c r="AO91" s="28">
        <v>0</v>
      </c>
      <c r="AP91" s="28">
        <v>0</v>
      </c>
      <c r="AQ91" s="28">
        <v>0</v>
      </c>
      <c r="AR91" s="28">
        <v>0</v>
      </c>
      <c r="AS91" s="28">
        <v>0</v>
      </c>
      <c r="AT91" s="28">
        <v>0</v>
      </c>
      <c r="AU91" s="7" t="s">
        <v>677</v>
      </c>
      <c r="AV91" s="28">
        <v>100</v>
      </c>
      <c r="AW91" s="3" t="s">
        <v>430</v>
      </c>
    </row>
    <row r="92" spans="1:49" ht="28.5" customHeight="1" x14ac:dyDescent="0.3">
      <c r="A92" s="10" t="s">
        <v>0</v>
      </c>
      <c r="B92" s="10" t="s">
        <v>11</v>
      </c>
      <c r="C92" s="10" t="s">
        <v>801</v>
      </c>
      <c r="D92" s="22">
        <v>23.3</v>
      </c>
      <c r="E92" s="1">
        <f>ROUNDDOWN(ROUNDDOWN(일위대가목록!E16,0)*AV92/100,0)</f>
        <v>1190</v>
      </c>
      <c r="F92" s="1">
        <f t="shared" si="15"/>
        <v>27727</v>
      </c>
      <c r="G92" s="1">
        <f>ROUNDDOWN(ROUNDDOWN(일위대가목록!F16,0)*AV92/100,0)</f>
        <v>10661</v>
      </c>
      <c r="H92" s="1">
        <f t="shared" si="16"/>
        <v>248401</v>
      </c>
      <c r="I92" s="1">
        <f>ROUNDDOWN(ROUNDDOWN(일위대가목록!G16,0)*AV92/100,0)</f>
        <v>0</v>
      </c>
      <c r="J92" s="1">
        <f t="shared" si="17"/>
        <v>0</v>
      </c>
      <c r="K92" s="1">
        <f t="shared" si="18"/>
        <v>11851</v>
      </c>
      <c r="L92" s="1">
        <f t="shared" si="19"/>
        <v>276128</v>
      </c>
      <c r="M92" s="10" t="s">
        <v>677</v>
      </c>
      <c r="N92" s="2" t="str">
        <f>HYPERLINK("#일위대가목록!A16", "ANB112134000")</f>
        <v>ANB112134000</v>
      </c>
      <c r="O92" s="7" t="s">
        <v>677</v>
      </c>
      <c r="P92" s="7" t="s">
        <v>677</v>
      </c>
      <c r="Q92" s="7" t="s">
        <v>469</v>
      </c>
      <c r="R92" s="28">
        <v>400000</v>
      </c>
      <c r="S92" s="28">
        <v>90</v>
      </c>
      <c r="T92" s="7" t="s">
        <v>731</v>
      </c>
      <c r="U92" s="7" t="s">
        <v>399</v>
      </c>
      <c r="V92" s="7" t="s">
        <v>399</v>
      </c>
      <c r="W92" s="7" t="s">
        <v>677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4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0</v>
      </c>
      <c r="AT92" s="28">
        <v>0</v>
      </c>
      <c r="AU92" s="7" t="s">
        <v>677</v>
      </c>
      <c r="AV92" s="28">
        <v>100</v>
      </c>
      <c r="AW92" s="3" t="s">
        <v>166</v>
      </c>
    </row>
    <row r="93" spans="1:49" ht="28.5" customHeight="1" x14ac:dyDescent="0.3">
      <c r="A93" s="10" t="s">
        <v>1291</v>
      </c>
      <c r="B93" s="31" t="s">
        <v>1053</v>
      </c>
      <c r="C93" s="10" t="s">
        <v>1052</v>
      </c>
      <c r="D93" s="22">
        <v>1</v>
      </c>
      <c r="E93" s="1">
        <f>ROUNDDOWN(ROUNDDOWN(단가대비표!U70,0)*AV93/100,0)</f>
        <v>1500000</v>
      </c>
      <c r="F93" s="1">
        <f t="shared" si="15"/>
        <v>1500000</v>
      </c>
      <c r="G93" s="1">
        <f>ROUNDDOWN(ROUNDDOWN([1]단가대비표!V21,0)*AV93/100,0)</f>
        <v>0</v>
      </c>
      <c r="H93" s="1">
        <f t="shared" si="16"/>
        <v>0</v>
      </c>
      <c r="I93" s="1">
        <f>ROUNDDOWN(ROUNDDOWN([1]단가대비표!AE21,0)*AV93/100,0)</f>
        <v>0</v>
      </c>
      <c r="J93" s="1">
        <f t="shared" si="17"/>
        <v>0</v>
      </c>
      <c r="K93" s="1">
        <f t="shared" si="18"/>
        <v>1500000</v>
      </c>
      <c r="L93" s="1">
        <f t="shared" si="19"/>
        <v>1500000</v>
      </c>
      <c r="M93" s="10" t="s">
        <v>677</v>
      </c>
      <c r="N93" s="2" t="str">
        <f>HYPERLINK("#단가대비표!B21", "3015200120158330")</f>
        <v>3015200120158330</v>
      </c>
      <c r="O93" s="7" t="s">
        <v>677</v>
      </c>
      <c r="P93" s="7" t="s">
        <v>677</v>
      </c>
      <c r="Q93" s="7" t="s">
        <v>469</v>
      </c>
      <c r="R93" s="28">
        <v>400000</v>
      </c>
      <c r="S93" s="28">
        <v>120</v>
      </c>
      <c r="T93" s="7" t="s">
        <v>399</v>
      </c>
      <c r="U93" s="7" t="s">
        <v>399</v>
      </c>
      <c r="V93" s="7" t="s">
        <v>731</v>
      </c>
      <c r="W93" s="7" t="s">
        <v>677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4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0</v>
      </c>
      <c r="AT93" s="28">
        <v>0</v>
      </c>
      <c r="AU93" s="7" t="s">
        <v>677</v>
      </c>
      <c r="AV93" s="28">
        <v>100</v>
      </c>
      <c r="AW93" s="3" t="s">
        <v>1096</v>
      </c>
    </row>
    <row r="96" spans="1:49" ht="28.5" customHeight="1" x14ac:dyDescent="0.3">
      <c r="A96" s="10" t="s">
        <v>677</v>
      </c>
      <c r="B96" s="10" t="s">
        <v>677</v>
      </c>
      <c r="C96" s="10" t="s">
        <v>677</v>
      </c>
      <c r="D96" s="1">
        <v>0</v>
      </c>
      <c r="E96" s="1">
        <v>0</v>
      </c>
      <c r="F96" s="1">
        <f t="shared" si="15"/>
        <v>0</v>
      </c>
      <c r="G96" s="1">
        <v>0</v>
      </c>
      <c r="H96" s="1">
        <f t="shared" si="16"/>
        <v>0</v>
      </c>
      <c r="I96" s="1">
        <v>0</v>
      </c>
      <c r="J96" s="1">
        <f t="shared" si="17"/>
        <v>0</v>
      </c>
      <c r="K96" s="1">
        <f t="shared" si="18"/>
        <v>0</v>
      </c>
      <c r="L96" s="1">
        <f t="shared" si="19"/>
        <v>0</v>
      </c>
      <c r="M96" s="10" t="s">
        <v>677</v>
      </c>
      <c r="N96" s="10" t="s">
        <v>677</v>
      </c>
      <c r="O96" s="10" t="s">
        <v>677</v>
      </c>
      <c r="P96" s="10" t="s">
        <v>677</v>
      </c>
      <c r="AU96" s="7"/>
      <c r="AV96" s="28">
        <v>0</v>
      </c>
      <c r="AW96" s="3" t="s">
        <v>677</v>
      </c>
    </row>
    <row r="97" spans="1:49" ht="28.5" customHeight="1" x14ac:dyDescent="0.3">
      <c r="A97" s="10" t="s">
        <v>677</v>
      </c>
      <c r="B97" s="10" t="s">
        <v>677</v>
      </c>
      <c r="C97" s="10" t="s">
        <v>677</v>
      </c>
      <c r="D97" s="1">
        <v>0</v>
      </c>
      <c r="E97" s="1">
        <v>0</v>
      </c>
      <c r="F97" s="1">
        <f t="shared" si="15"/>
        <v>0</v>
      </c>
      <c r="G97" s="1">
        <v>0</v>
      </c>
      <c r="H97" s="1">
        <f t="shared" si="16"/>
        <v>0</v>
      </c>
      <c r="I97" s="1">
        <v>0</v>
      </c>
      <c r="J97" s="1">
        <f t="shared" si="17"/>
        <v>0</v>
      </c>
      <c r="K97" s="1">
        <f t="shared" si="18"/>
        <v>0</v>
      </c>
      <c r="L97" s="1">
        <f t="shared" si="19"/>
        <v>0</v>
      </c>
      <c r="M97" s="10" t="s">
        <v>677</v>
      </c>
      <c r="N97" s="10" t="s">
        <v>677</v>
      </c>
      <c r="O97" s="10" t="s">
        <v>677</v>
      </c>
      <c r="P97" s="10" t="s">
        <v>677</v>
      </c>
      <c r="AU97" s="7"/>
      <c r="AV97" s="28">
        <v>0</v>
      </c>
      <c r="AW97" s="3" t="s">
        <v>677</v>
      </c>
    </row>
    <row r="98" spans="1:49" ht="28.5" customHeight="1" x14ac:dyDescent="0.3">
      <c r="A98" s="10" t="s">
        <v>677</v>
      </c>
      <c r="B98" s="10" t="s">
        <v>677</v>
      </c>
      <c r="C98" s="10" t="s">
        <v>677</v>
      </c>
      <c r="D98" s="1">
        <v>0</v>
      </c>
      <c r="E98" s="1">
        <v>0</v>
      </c>
      <c r="F98" s="1">
        <f t="shared" si="15"/>
        <v>0</v>
      </c>
      <c r="G98" s="1">
        <v>0</v>
      </c>
      <c r="H98" s="1">
        <f t="shared" si="16"/>
        <v>0</v>
      </c>
      <c r="I98" s="1">
        <v>0</v>
      </c>
      <c r="J98" s="1">
        <f t="shared" si="17"/>
        <v>0</v>
      </c>
      <c r="K98" s="1">
        <f t="shared" si="18"/>
        <v>0</v>
      </c>
      <c r="L98" s="1">
        <f t="shared" si="19"/>
        <v>0</v>
      </c>
      <c r="M98" s="10" t="s">
        <v>677</v>
      </c>
      <c r="N98" s="10" t="s">
        <v>677</v>
      </c>
      <c r="O98" s="10" t="s">
        <v>677</v>
      </c>
      <c r="P98" s="10" t="s">
        <v>677</v>
      </c>
      <c r="AU98" s="7"/>
      <c r="AV98" s="28">
        <v>0</v>
      </c>
      <c r="AW98" s="3" t="s">
        <v>677</v>
      </c>
    </row>
    <row r="99" spans="1:49" ht="28.5" customHeight="1" x14ac:dyDescent="0.3">
      <c r="A99" s="10" t="s">
        <v>677</v>
      </c>
      <c r="B99" s="10" t="s">
        <v>677</v>
      </c>
      <c r="C99" s="10" t="s">
        <v>677</v>
      </c>
      <c r="D99" s="1">
        <v>0</v>
      </c>
      <c r="E99" s="1">
        <v>0</v>
      </c>
      <c r="F99" s="1">
        <f t="shared" si="15"/>
        <v>0</v>
      </c>
      <c r="G99" s="1">
        <v>0</v>
      </c>
      <c r="H99" s="1">
        <f t="shared" si="16"/>
        <v>0</v>
      </c>
      <c r="I99" s="1">
        <v>0</v>
      </c>
      <c r="J99" s="1">
        <f t="shared" si="17"/>
        <v>0</v>
      </c>
      <c r="K99" s="1">
        <f t="shared" si="18"/>
        <v>0</v>
      </c>
      <c r="L99" s="1">
        <f t="shared" si="19"/>
        <v>0</v>
      </c>
      <c r="M99" s="10" t="s">
        <v>677</v>
      </c>
      <c r="N99" s="10" t="s">
        <v>677</v>
      </c>
      <c r="O99" s="10" t="s">
        <v>677</v>
      </c>
      <c r="P99" s="10" t="s">
        <v>677</v>
      </c>
      <c r="AU99" s="7"/>
      <c r="AV99" s="28">
        <v>0</v>
      </c>
      <c r="AW99" s="3" t="s">
        <v>677</v>
      </c>
    </row>
    <row r="100" spans="1:49" ht="28.5" customHeight="1" x14ac:dyDescent="0.3">
      <c r="A100" s="10" t="s">
        <v>677</v>
      </c>
      <c r="B100" s="10" t="s">
        <v>677</v>
      </c>
      <c r="C100" s="10" t="s">
        <v>677</v>
      </c>
      <c r="D100" s="1">
        <v>0</v>
      </c>
      <c r="E100" s="1">
        <v>0</v>
      </c>
      <c r="F100" s="1">
        <f t="shared" si="15"/>
        <v>0</v>
      </c>
      <c r="G100" s="1">
        <v>0</v>
      </c>
      <c r="H100" s="1">
        <f t="shared" si="16"/>
        <v>0</v>
      </c>
      <c r="I100" s="1">
        <v>0</v>
      </c>
      <c r="J100" s="1">
        <f t="shared" si="17"/>
        <v>0</v>
      </c>
      <c r="K100" s="1">
        <f t="shared" si="18"/>
        <v>0</v>
      </c>
      <c r="L100" s="1">
        <f t="shared" si="19"/>
        <v>0</v>
      </c>
      <c r="M100" s="10" t="s">
        <v>677</v>
      </c>
      <c r="N100" s="10" t="s">
        <v>677</v>
      </c>
      <c r="O100" s="10" t="s">
        <v>677</v>
      </c>
      <c r="P100" s="10" t="s">
        <v>677</v>
      </c>
      <c r="AU100" s="7"/>
      <c r="AV100" s="28">
        <v>0</v>
      </c>
      <c r="AW100" s="3" t="s">
        <v>677</v>
      </c>
    </row>
    <row r="101" spans="1:49" ht="28.5" customHeight="1" x14ac:dyDescent="0.3">
      <c r="A101" s="10" t="s">
        <v>677</v>
      </c>
      <c r="B101" s="10" t="s">
        <v>677</v>
      </c>
      <c r="C101" s="10" t="s">
        <v>677</v>
      </c>
      <c r="D101" s="1">
        <v>0</v>
      </c>
      <c r="E101" s="1">
        <v>0</v>
      </c>
      <c r="F101" s="1">
        <f t="shared" si="15"/>
        <v>0</v>
      </c>
      <c r="G101" s="1">
        <v>0</v>
      </c>
      <c r="H101" s="1">
        <f t="shared" si="16"/>
        <v>0</v>
      </c>
      <c r="I101" s="1">
        <v>0</v>
      </c>
      <c r="J101" s="1">
        <f t="shared" si="17"/>
        <v>0</v>
      </c>
      <c r="K101" s="1">
        <f t="shared" si="18"/>
        <v>0</v>
      </c>
      <c r="L101" s="1">
        <f t="shared" si="19"/>
        <v>0</v>
      </c>
      <c r="M101" s="10" t="s">
        <v>677</v>
      </c>
      <c r="N101" s="10" t="s">
        <v>677</v>
      </c>
      <c r="O101" s="10" t="s">
        <v>677</v>
      </c>
      <c r="P101" s="10" t="s">
        <v>677</v>
      </c>
      <c r="AU101" s="7"/>
      <c r="AV101" s="28">
        <v>0</v>
      </c>
      <c r="AW101" s="3" t="s">
        <v>677</v>
      </c>
    </row>
    <row r="102" spans="1:49" ht="28.5" customHeight="1" x14ac:dyDescent="0.3">
      <c r="A102" s="10" t="s">
        <v>677</v>
      </c>
      <c r="B102" s="10" t="s">
        <v>677</v>
      </c>
      <c r="C102" s="10" t="s">
        <v>677</v>
      </c>
      <c r="D102" s="1">
        <v>0</v>
      </c>
      <c r="E102" s="1">
        <v>0</v>
      </c>
      <c r="F102" s="1">
        <f t="shared" si="15"/>
        <v>0</v>
      </c>
      <c r="G102" s="1">
        <v>0</v>
      </c>
      <c r="H102" s="1">
        <f t="shared" si="16"/>
        <v>0</v>
      </c>
      <c r="I102" s="1">
        <v>0</v>
      </c>
      <c r="J102" s="1">
        <f t="shared" si="17"/>
        <v>0</v>
      </c>
      <c r="K102" s="1">
        <f t="shared" si="18"/>
        <v>0</v>
      </c>
      <c r="L102" s="1">
        <f t="shared" si="19"/>
        <v>0</v>
      </c>
      <c r="M102" s="10" t="s">
        <v>677</v>
      </c>
      <c r="N102" s="10" t="s">
        <v>677</v>
      </c>
      <c r="O102" s="10" t="s">
        <v>677</v>
      </c>
      <c r="P102" s="10" t="s">
        <v>677</v>
      </c>
      <c r="AU102" s="7"/>
      <c r="AV102" s="28">
        <v>0</v>
      </c>
      <c r="AW102" s="3" t="s">
        <v>677</v>
      </c>
    </row>
    <row r="103" spans="1:49" ht="28.5" customHeight="1" x14ac:dyDescent="0.3">
      <c r="A103" s="10" t="s">
        <v>677</v>
      </c>
      <c r="B103" s="10" t="s">
        <v>677</v>
      </c>
      <c r="C103" s="10" t="s">
        <v>677</v>
      </c>
      <c r="D103" s="1">
        <v>0</v>
      </c>
      <c r="E103" s="1">
        <v>0</v>
      </c>
      <c r="F103" s="1">
        <f t="shared" si="15"/>
        <v>0</v>
      </c>
      <c r="G103" s="1">
        <v>0</v>
      </c>
      <c r="H103" s="1">
        <f t="shared" si="16"/>
        <v>0</v>
      </c>
      <c r="I103" s="1">
        <v>0</v>
      </c>
      <c r="J103" s="1">
        <f t="shared" si="17"/>
        <v>0</v>
      </c>
      <c r="K103" s="1">
        <f t="shared" si="18"/>
        <v>0</v>
      </c>
      <c r="L103" s="1">
        <f t="shared" si="19"/>
        <v>0</v>
      </c>
      <c r="M103" s="10" t="s">
        <v>677</v>
      </c>
      <c r="N103" s="10" t="s">
        <v>677</v>
      </c>
      <c r="O103" s="10" t="s">
        <v>677</v>
      </c>
      <c r="P103" s="10" t="s">
        <v>677</v>
      </c>
      <c r="AU103" s="7"/>
      <c r="AV103" s="28">
        <v>0</v>
      </c>
      <c r="AW103" s="3" t="s">
        <v>677</v>
      </c>
    </row>
    <row r="104" spans="1:49" ht="28.5" customHeight="1" x14ac:dyDescent="0.3">
      <c r="A104" s="10" t="s">
        <v>677</v>
      </c>
      <c r="B104" s="10" t="s">
        <v>677</v>
      </c>
      <c r="C104" s="10" t="s">
        <v>677</v>
      </c>
      <c r="D104" s="1">
        <v>0</v>
      </c>
      <c r="E104" s="1">
        <v>0</v>
      </c>
      <c r="F104" s="1">
        <f t="shared" si="15"/>
        <v>0</v>
      </c>
      <c r="G104" s="1">
        <v>0</v>
      </c>
      <c r="H104" s="1">
        <f t="shared" si="16"/>
        <v>0</v>
      </c>
      <c r="I104" s="1">
        <v>0</v>
      </c>
      <c r="J104" s="1">
        <f t="shared" si="17"/>
        <v>0</v>
      </c>
      <c r="K104" s="1">
        <f t="shared" si="18"/>
        <v>0</v>
      </c>
      <c r="L104" s="1">
        <f t="shared" si="19"/>
        <v>0</v>
      </c>
      <c r="M104" s="10" t="s">
        <v>677</v>
      </c>
      <c r="N104" s="10" t="s">
        <v>677</v>
      </c>
      <c r="O104" s="10" t="s">
        <v>677</v>
      </c>
      <c r="P104" s="10" t="s">
        <v>677</v>
      </c>
      <c r="AU104" s="7"/>
      <c r="AV104" s="28">
        <v>0</v>
      </c>
      <c r="AW104" s="3" t="s">
        <v>677</v>
      </c>
    </row>
    <row r="105" spans="1:49" ht="28.5" customHeight="1" x14ac:dyDescent="0.3">
      <c r="A105" s="10" t="s">
        <v>677</v>
      </c>
      <c r="B105" s="10" t="s">
        <v>677</v>
      </c>
      <c r="C105" s="10" t="s">
        <v>677</v>
      </c>
      <c r="D105" s="1">
        <v>0</v>
      </c>
      <c r="E105" s="1">
        <v>0</v>
      </c>
      <c r="F105" s="1">
        <f t="shared" si="15"/>
        <v>0</v>
      </c>
      <c r="G105" s="1">
        <v>0</v>
      </c>
      <c r="H105" s="1">
        <f t="shared" si="16"/>
        <v>0</v>
      </c>
      <c r="I105" s="1">
        <v>0</v>
      </c>
      <c r="J105" s="1">
        <f t="shared" si="17"/>
        <v>0</v>
      </c>
      <c r="K105" s="1">
        <f t="shared" si="18"/>
        <v>0</v>
      </c>
      <c r="L105" s="1">
        <f t="shared" si="19"/>
        <v>0</v>
      </c>
      <c r="M105" s="10" t="s">
        <v>677</v>
      </c>
      <c r="N105" s="10" t="s">
        <v>677</v>
      </c>
      <c r="O105" s="10" t="s">
        <v>677</v>
      </c>
      <c r="P105" s="10" t="s">
        <v>677</v>
      </c>
      <c r="AU105" s="7"/>
      <c r="AV105" s="28">
        <v>0</v>
      </c>
      <c r="AW105" s="3" t="s">
        <v>677</v>
      </c>
    </row>
    <row r="106" spans="1:49" ht="28.5" customHeight="1" x14ac:dyDescent="0.3">
      <c r="A106" s="10" t="s">
        <v>109</v>
      </c>
      <c r="B106" s="10" t="s">
        <v>677</v>
      </c>
      <c r="C106" s="10" t="s">
        <v>677</v>
      </c>
      <c r="D106" s="10" t="s">
        <v>677</v>
      </c>
      <c r="E106" s="27">
        <v>0</v>
      </c>
      <c r="F106" s="1">
        <f>TRUNC(SUMIF(Q83:Q105, Q82,F83:F105),0)</f>
        <v>3323751</v>
      </c>
      <c r="G106" s="1">
        <v>0</v>
      </c>
      <c r="H106" s="1">
        <f>TRUNC(SUMIF(Q83:Q105, Q82,H83:H105),0)</f>
        <v>1850428</v>
      </c>
      <c r="I106" s="1">
        <v>0</v>
      </c>
      <c r="J106" s="1">
        <f>TRUNC(SUMIF(Q83:Q105, Q82,J83:J105),0)</f>
        <v>20436</v>
      </c>
      <c r="K106" s="12" t="s">
        <v>677</v>
      </c>
      <c r="L106" s="1">
        <f>F106+H106+J106</f>
        <v>5194615</v>
      </c>
      <c r="M106" s="10"/>
      <c r="AW106" s="10" t="s">
        <v>677</v>
      </c>
    </row>
    <row r="107" spans="1:49" ht="28.5" customHeight="1" x14ac:dyDescent="0.3">
      <c r="A107" s="10" t="s">
        <v>1136</v>
      </c>
      <c r="B107" s="10"/>
      <c r="C107" s="10"/>
      <c r="D107" s="10" t="s">
        <v>677</v>
      </c>
      <c r="E107" s="10" t="s">
        <v>677</v>
      </c>
      <c r="F107" s="10" t="s">
        <v>677</v>
      </c>
      <c r="G107" s="10" t="s">
        <v>677</v>
      </c>
      <c r="H107" s="10" t="s">
        <v>677</v>
      </c>
      <c r="I107" s="10" t="s">
        <v>677</v>
      </c>
      <c r="J107" s="10" t="s">
        <v>677</v>
      </c>
      <c r="K107" s="10" t="s">
        <v>677</v>
      </c>
      <c r="L107" s="10" t="s">
        <v>677</v>
      </c>
      <c r="M107" s="10" t="s">
        <v>677</v>
      </c>
      <c r="N107" s="5" t="s">
        <v>677</v>
      </c>
      <c r="Q107" s="7" t="s">
        <v>213</v>
      </c>
      <c r="R107" s="28">
        <v>500000</v>
      </c>
      <c r="S107" s="28">
        <v>0</v>
      </c>
      <c r="AH107" s="7"/>
      <c r="AW107" s="10" t="s">
        <v>677</v>
      </c>
    </row>
    <row r="108" spans="1:49" ht="28.5" customHeight="1" x14ac:dyDescent="0.3">
      <c r="A108" s="10" t="s">
        <v>84</v>
      </c>
      <c r="B108" s="10" t="s">
        <v>1139</v>
      </c>
      <c r="C108" s="10" t="s">
        <v>801</v>
      </c>
      <c r="D108" s="22">
        <v>150</v>
      </c>
      <c r="E108" s="1">
        <f>ROUNDDOWN(ROUNDDOWN(일위대가목록!E17,0)*AV108/100,0)</f>
        <v>0</v>
      </c>
      <c r="F108" s="1">
        <f t="shared" ref="F108:F129" si="25">ROUNDDOWN(D108*E108,0)</f>
        <v>0</v>
      </c>
      <c r="G108" s="1">
        <f>ROUNDDOWN(ROUNDDOWN(일위대가목록!F17,0)*AV108/100,0)</f>
        <v>961</v>
      </c>
      <c r="H108" s="1">
        <f t="shared" ref="H108:H129" si="26">ROUNDDOWN(D108*G108,0)</f>
        <v>144150</v>
      </c>
      <c r="I108" s="1">
        <f>ROUNDDOWN(ROUNDDOWN(일위대가목록!G17,0)*AV108/100,0)</f>
        <v>0</v>
      </c>
      <c r="J108" s="1">
        <f t="shared" ref="J108:J129" si="27">ROUNDDOWN(D108*I108,0)</f>
        <v>0</v>
      </c>
      <c r="K108" s="1">
        <f t="shared" ref="K108:K129" si="28">ROUNDDOWN(E108+G108+I108,0)</f>
        <v>961</v>
      </c>
      <c r="L108" s="1">
        <f t="shared" ref="L108:L129" si="29">ROUNDDOWN(F108+H108+J108,0)</f>
        <v>144150</v>
      </c>
      <c r="M108" s="10"/>
      <c r="N108" s="2" t="str">
        <f>HYPERLINK("#일위대가목록!A17", "CDK82400020S")</f>
        <v>CDK82400020S</v>
      </c>
      <c r="O108" s="7" t="s">
        <v>677</v>
      </c>
      <c r="P108" s="7" t="s">
        <v>677</v>
      </c>
      <c r="Q108" s="7" t="s">
        <v>213</v>
      </c>
      <c r="R108" s="28">
        <v>500000</v>
      </c>
      <c r="S108" s="28">
        <v>5</v>
      </c>
      <c r="T108" s="7" t="s">
        <v>731</v>
      </c>
      <c r="U108" s="7" t="s">
        <v>399</v>
      </c>
      <c r="V108" s="7" t="s">
        <v>399</v>
      </c>
      <c r="W108" s="7" t="s">
        <v>677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5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7" t="s">
        <v>677</v>
      </c>
      <c r="AV108" s="28">
        <v>100</v>
      </c>
      <c r="AW108" s="3" t="s">
        <v>463</v>
      </c>
    </row>
    <row r="109" spans="1:49" ht="28.5" customHeight="1" x14ac:dyDescent="0.3">
      <c r="A109" s="10" t="s">
        <v>1140</v>
      </c>
      <c r="B109" s="10"/>
      <c r="C109" s="10" t="s">
        <v>801</v>
      </c>
      <c r="D109" s="22">
        <v>150</v>
      </c>
      <c r="E109" s="1">
        <f>ROUNDDOWN(ROUNDDOWN(일위대가목록!E58,0)*AV109/100,0)</f>
        <v>0</v>
      </c>
      <c r="F109" s="1">
        <f t="shared" ref="F109" si="30">ROUNDDOWN(D109*E109,0)</f>
        <v>0</v>
      </c>
      <c r="G109" s="1">
        <f>ROUNDDOWN(ROUNDDOWN(일위대가목록!F58,0)*AV109/100,0)</f>
        <v>1421</v>
      </c>
      <c r="H109" s="1">
        <f t="shared" ref="H109" si="31">ROUNDDOWN(D109*G109,0)</f>
        <v>213150</v>
      </c>
      <c r="I109" s="1">
        <f>ROUNDDOWN(ROUNDDOWN(일위대가목록!G58,0)*AV109/100,0)</f>
        <v>0</v>
      </c>
      <c r="J109" s="1">
        <f t="shared" ref="J109" si="32">ROUNDDOWN(D109*I109,0)</f>
        <v>0</v>
      </c>
      <c r="K109" s="1">
        <f t="shared" ref="K109" si="33">ROUNDDOWN(E109+G109+I109,0)</f>
        <v>1421</v>
      </c>
      <c r="L109" s="1">
        <f t="shared" ref="L109" si="34">ROUNDDOWN(F109+H109+J109,0)</f>
        <v>213150</v>
      </c>
      <c r="M109" s="10"/>
      <c r="N109" s="36">
        <f>HYPERLINK("#일위대가목록!A58",)</f>
        <v>0</v>
      </c>
      <c r="O109" s="7" t="s">
        <v>677</v>
      </c>
      <c r="P109" s="7" t="s">
        <v>677</v>
      </c>
      <c r="Q109" s="7" t="s">
        <v>213</v>
      </c>
      <c r="R109" s="28">
        <v>500000</v>
      </c>
      <c r="S109" s="28">
        <v>5</v>
      </c>
      <c r="T109" s="7" t="s">
        <v>731</v>
      </c>
      <c r="U109" s="7" t="s">
        <v>399</v>
      </c>
      <c r="V109" s="7" t="s">
        <v>399</v>
      </c>
      <c r="W109" s="7" t="s">
        <v>677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5</v>
      </c>
      <c r="AJ109" s="28">
        <v>0</v>
      </c>
      <c r="AK109" s="28">
        <v>0</v>
      </c>
      <c r="AL109" s="28">
        <v>0</v>
      </c>
      <c r="AM109" s="28">
        <v>0</v>
      </c>
      <c r="AN109" s="28">
        <v>0</v>
      </c>
      <c r="AO109" s="28">
        <v>0</v>
      </c>
      <c r="AP109" s="28">
        <v>0</v>
      </c>
      <c r="AQ109" s="28">
        <v>0</v>
      </c>
      <c r="AR109" s="28">
        <v>0</v>
      </c>
      <c r="AS109" s="28">
        <v>0</v>
      </c>
      <c r="AT109" s="28">
        <v>0</v>
      </c>
      <c r="AU109" s="7" t="s">
        <v>677</v>
      </c>
      <c r="AV109" s="28">
        <v>100</v>
      </c>
      <c r="AW109" s="3" t="s">
        <v>1279</v>
      </c>
    </row>
    <row r="110" spans="1:49" ht="28.5" customHeight="1" x14ac:dyDescent="0.3">
      <c r="A110" s="10" t="s">
        <v>1069</v>
      </c>
      <c r="B110" s="31" t="s">
        <v>1070</v>
      </c>
      <c r="C110" s="10" t="s">
        <v>1052</v>
      </c>
      <c r="D110" s="22">
        <v>1</v>
      </c>
      <c r="E110" s="1">
        <f>ROUNDDOWN(ROUNDDOWN(단가대비표!U77,0)*AV110/100,0)</f>
        <v>9832350</v>
      </c>
      <c r="F110" s="1">
        <f t="shared" si="25"/>
        <v>9832350</v>
      </c>
      <c r="G110" s="1">
        <f>ROUNDDOWN(ROUNDDOWN(단가대비표!V77,0)*AV110/100,0)</f>
        <v>0</v>
      </c>
      <c r="H110" s="1">
        <f t="shared" si="26"/>
        <v>0</v>
      </c>
      <c r="I110" s="1">
        <f>ROUNDDOWN(ROUNDDOWN(단가대비표!AE77,0)*AV110/100,0)</f>
        <v>0</v>
      </c>
      <c r="J110" s="1">
        <f t="shared" si="27"/>
        <v>0</v>
      </c>
      <c r="K110" s="1">
        <f t="shared" si="28"/>
        <v>9832350</v>
      </c>
      <c r="L110" s="1">
        <f t="shared" si="29"/>
        <v>9832350</v>
      </c>
      <c r="M110" s="10" t="s">
        <v>677</v>
      </c>
      <c r="N110" s="2" t="str">
        <f>HYPERLINK("#단가대비표!B21", "3015200120158330")</f>
        <v>3015200120158330</v>
      </c>
      <c r="O110" s="7" t="s">
        <v>677</v>
      </c>
      <c r="P110" s="7" t="s">
        <v>677</v>
      </c>
      <c r="Q110" s="7" t="s">
        <v>213</v>
      </c>
      <c r="R110" s="28">
        <v>400000</v>
      </c>
      <c r="S110" s="28">
        <v>120</v>
      </c>
      <c r="T110" s="7" t="s">
        <v>399</v>
      </c>
      <c r="U110" s="7" t="s">
        <v>399</v>
      </c>
      <c r="V110" s="7" t="s">
        <v>731</v>
      </c>
      <c r="W110" s="7" t="s">
        <v>677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4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7" t="s">
        <v>677</v>
      </c>
      <c r="AV110" s="28">
        <v>100</v>
      </c>
      <c r="AW110" s="3" t="s">
        <v>1289</v>
      </c>
    </row>
    <row r="111" spans="1:49" ht="28.5" customHeight="1" x14ac:dyDescent="0.3">
      <c r="A111" s="10" t="s">
        <v>1144</v>
      </c>
      <c r="B111" s="10" t="s">
        <v>1145</v>
      </c>
      <c r="C111" s="10" t="s">
        <v>1050</v>
      </c>
      <c r="D111" s="22">
        <v>363</v>
      </c>
      <c r="E111" s="1">
        <f>ROUNDDOWN(ROUNDDOWN(일위대가목록!E13,0)*AV111/100,0)</f>
        <v>13388</v>
      </c>
      <c r="F111" s="1">
        <f t="shared" si="25"/>
        <v>4859844</v>
      </c>
      <c r="G111" s="1">
        <f>ROUNDDOWN(ROUNDDOWN(일위대가목록!F13,0)*AV111/100,0)</f>
        <v>7333</v>
      </c>
      <c r="H111" s="1">
        <f t="shared" si="26"/>
        <v>2661879</v>
      </c>
      <c r="I111" s="1">
        <f>ROUNDDOWN(ROUNDDOWN(일위대가목록!G13,0)*AV111/100,0)</f>
        <v>0</v>
      </c>
      <c r="J111" s="1">
        <f t="shared" si="27"/>
        <v>0</v>
      </c>
      <c r="K111" s="1">
        <f t="shared" si="28"/>
        <v>20721</v>
      </c>
      <c r="L111" s="1">
        <f t="shared" si="29"/>
        <v>7521723</v>
      </c>
      <c r="M111" s="10"/>
      <c r="N111" s="36">
        <f>HYPERLINK("#일위대가목록!A59",)</f>
        <v>0</v>
      </c>
      <c r="O111" s="7" t="s">
        <v>677</v>
      </c>
      <c r="P111" s="7" t="s">
        <v>677</v>
      </c>
      <c r="Q111" s="7" t="s">
        <v>213</v>
      </c>
      <c r="R111" s="28">
        <v>500000</v>
      </c>
      <c r="S111" s="28">
        <v>5</v>
      </c>
      <c r="T111" s="7" t="s">
        <v>731</v>
      </c>
      <c r="U111" s="7" t="s">
        <v>399</v>
      </c>
      <c r="V111" s="7" t="s">
        <v>399</v>
      </c>
      <c r="W111" s="7" t="s">
        <v>677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5</v>
      </c>
      <c r="AJ111" s="28">
        <v>0</v>
      </c>
      <c r="AK111" s="28">
        <v>0</v>
      </c>
      <c r="AL111" s="28">
        <v>0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7" t="s">
        <v>677</v>
      </c>
      <c r="AV111" s="28">
        <v>100</v>
      </c>
      <c r="AW111" s="3" t="s">
        <v>1283</v>
      </c>
    </row>
    <row r="112" spans="1:49" ht="28.5" customHeight="1" x14ac:dyDescent="0.3">
      <c r="A112" s="10" t="s">
        <v>1220</v>
      </c>
      <c r="B112" s="10" t="s">
        <v>1221</v>
      </c>
      <c r="C112" s="10" t="s">
        <v>1059</v>
      </c>
      <c r="D112" s="1">
        <v>1</v>
      </c>
      <c r="E112" s="1">
        <f>단가대비표!U84</f>
        <v>284000</v>
      </c>
      <c r="F112" s="1">
        <f t="shared" si="25"/>
        <v>284000</v>
      </c>
      <c r="G112" s="1">
        <v>0</v>
      </c>
      <c r="H112" s="1">
        <f t="shared" si="26"/>
        <v>0</v>
      </c>
      <c r="I112" s="1">
        <v>0</v>
      </c>
      <c r="J112" s="1">
        <f t="shared" si="27"/>
        <v>0</v>
      </c>
      <c r="K112" s="1">
        <f t="shared" si="28"/>
        <v>284000</v>
      </c>
      <c r="L112" s="1">
        <f t="shared" si="29"/>
        <v>284000</v>
      </c>
      <c r="M112" s="10" t="s">
        <v>677</v>
      </c>
      <c r="N112" s="10" t="s">
        <v>677</v>
      </c>
      <c r="O112" s="10" t="s">
        <v>677</v>
      </c>
      <c r="P112" s="10" t="s">
        <v>677</v>
      </c>
      <c r="Q112" s="7" t="s">
        <v>213</v>
      </c>
      <c r="AU112" s="7"/>
      <c r="AV112" s="28">
        <v>0</v>
      </c>
      <c r="AW112" s="3" t="s">
        <v>1292</v>
      </c>
    </row>
    <row r="113" spans="1:49" ht="28.5" customHeight="1" x14ac:dyDescent="0.3">
      <c r="A113" s="10" t="s">
        <v>677</v>
      </c>
      <c r="B113" s="10" t="s">
        <v>677</v>
      </c>
      <c r="C113" s="10" t="s">
        <v>677</v>
      </c>
      <c r="D113" s="1">
        <v>0</v>
      </c>
      <c r="E113" s="1">
        <v>0</v>
      </c>
      <c r="F113" s="1">
        <f t="shared" si="25"/>
        <v>0</v>
      </c>
      <c r="G113" s="1">
        <v>0</v>
      </c>
      <c r="H113" s="1">
        <f t="shared" si="26"/>
        <v>0</v>
      </c>
      <c r="I113" s="1">
        <v>0</v>
      </c>
      <c r="J113" s="1">
        <f t="shared" si="27"/>
        <v>0</v>
      </c>
      <c r="K113" s="1">
        <f t="shared" si="28"/>
        <v>0</v>
      </c>
      <c r="L113" s="1">
        <f t="shared" si="29"/>
        <v>0</v>
      </c>
      <c r="M113" s="10" t="s">
        <v>677</v>
      </c>
      <c r="N113" s="10" t="s">
        <v>677</v>
      </c>
      <c r="O113" s="10" t="s">
        <v>677</v>
      </c>
      <c r="P113" s="10" t="s">
        <v>677</v>
      </c>
      <c r="AU113" s="7"/>
      <c r="AV113" s="28">
        <v>0</v>
      </c>
      <c r="AW113" s="3" t="s">
        <v>677</v>
      </c>
    </row>
    <row r="114" spans="1:49" ht="28.5" customHeight="1" x14ac:dyDescent="0.3">
      <c r="A114" s="10" t="s">
        <v>677</v>
      </c>
      <c r="B114" s="10" t="s">
        <v>677</v>
      </c>
      <c r="C114" s="10" t="s">
        <v>677</v>
      </c>
      <c r="D114" s="1">
        <v>0</v>
      </c>
      <c r="E114" s="1">
        <v>0</v>
      </c>
      <c r="F114" s="1">
        <f t="shared" si="25"/>
        <v>0</v>
      </c>
      <c r="G114" s="1">
        <v>0</v>
      </c>
      <c r="H114" s="1">
        <f t="shared" si="26"/>
        <v>0</v>
      </c>
      <c r="I114" s="1">
        <v>0</v>
      </c>
      <c r="J114" s="1">
        <f t="shared" si="27"/>
        <v>0</v>
      </c>
      <c r="K114" s="1">
        <f t="shared" si="28"/>
        <v>0</v>
      </c>
      <c r="L114" s="1">
        <f t="shared" si="29"/>
        <v>0</v>
      </c>
      <c r="M114" s="10" t="s">
        <v>677</v>
      </c>
      <c r="N114" s="10" t="s">
        <v>677</v>
      </c>
      <c r="O114" s="10" t="s">
        <v>677</v>
      </c>
      <c r="P114" s="10" t="s">
        <v>677</v>
      </c>
      <c r="AU114" s="7"/>
      <c r="AV114" s="28">
        <v>0</v>
      </c>
      <c r="AW114" s="3" t="s">
        <v>677</v>
      </c>
    </row>
    <row r="115" spans="1:49" ht="28.5" customHeight="1" x14ac:dyDescent="0.3">
      <c r="A115" s="10" t="s">
        <v>677</v>
      </c>
      <c r="B115" s="10" t="s">
        <v>677</v>
      </c>
      <c r="C115" s="10" t="s">
        <v>677</v>
      </c>
      <c r="D115" s="1">
        <v>0</v>
      </c>
      <c r="E115" s="1">
        <v>0</v>
      </c>
      <c r="F115" s="1">
        <f t="shared" si="25"/>
        <v>0</v>
      </c>
      <c r="G115" s="1">
        <v>0</v>
      </c>
      <c r="H115" s="1">
        <f t="shared" si="26"/>
        <v>0</v>
      </c>
      <c r="I115" s="1">
        <v>0</v>
      </c>
      <c r="J115" s="1">
        <f t="shared" si="27"/>
        <v>0</v>
      </c>
      <c r="K115" s="1">
        <f t="shared" si="28"/>
        <v>0</v>
      </c>
      <c r="L115" s="1">
        <f t="shared" si="29"/>
        <v>0</v>
      </c>
      <c r="M115" s="10" t="s">
        <v>677</v>
      </c>
      <c r="N115" s="10" t="s">
        <v>677</v>
      </c>
      <c r="O115" s="10" t="s">
        <v>677</v>
      </c>
      <c r="P115" s="10" t="s">
        <v>677</v>
      </c>
      <c r="AU115" s="7"/>
      <c r="AV115" s="28">
        <v>0</v>
      </c>
      <c r="AW115" s="3" t="s">
        <v>677</v>
      </c>
    </row>
    <row r="116" spans="1:49" ht="28.5" customHeight="1" x14ac:dyDescent="0.3">
      <c r="A116" s="10" t="s">
        <v>677</v>
      </c>
      <c r="B116" s="10" t="s">
        <v>677</v>
      </c>
      <c r="C116" s="10" t="s">
        <v>677</v>
      </c>
      <c r="D116" s="1">
        <v>0</v>
      </c>
      <c r="E116" s="1">
        <v>0</v>
      </c>
      <c r="F116" s="1">
        <f t="shared" si="25"/>
        <v>0</v>
      </c>
      <c r="G116" s="1">
        <v>0</v>
      </c>
      <c r="H116" s="1">
        <f t="shared" si="26"/>
        <v>0</v>
      </c>
      <c r="I116" s="1">
        <v>0</v>
      </c>
      <c r="J116" s="1">
        <f t="shared" si="27"/>
        <v>0</v>
      </c>
      <c r="K116" s="1">
        <f t="shared" si="28"/>
        <v>0</v>
      </c>
      <c r="L116" s="1">
        <f t="shared" si="29"/>
        <v>0</v>
      </c>
      <c r="M116" s="10" t="s">
        <v>677</v>
      </c>
      <c r="N116" s="10" t="s">
        <v>677</v>
      </c>
      <c r="O116" s="10" t="s">
        <v>677</v>
      </c>
      <c r="P116" s="10" t="s">
        <v>677</v>
      </c>
      <c r="AU116" s="7"/>
      <c r="AV116" s="28">
        <v>0</v>
      </c>
      <c r="AW116" s="3" t="s">
        <v>677</v>
      </c>
    </row>
    <row r="117" spans="1:49" ht="28.5" customHeight="1" x14ac:dyDescent="0.3">
      <c r="A117" s="10" t="s">
        <v>677</v>
      </c>
      <c r="B117" s="10" t="s">
        <v>677</v>
      </c>
      <c r="C117" s="10" t="s">
        <v>677</v>
      </c>
      <c r="D117" s="1">
        <v>0</v>
      </c>
      <c r="E117" s="1">
        <v>0</v>
      </c>
      <c r="F117" s="1">
        <f t="shared" si="25"/>
        <v>0</v>
      </c>
      <c r="G117" s="1">
        <v>0</v>
      </c>
      <c r="H117" s="1">
        <f t="shared" si="26"/>
        <v>0</v>
      </c>
      <c r="I117" s="1">
        <v>0</v>
      </c>
      <c r="J117" s="1">
        <f t="shared" si="27"/>
        <v>0</v>
      </c>
      <c r="K117" s="1">
        <f t="shared" si="28"/>
        <v>0</v>
      </c>
      <c r="L117" s="1">
        <f t="shared" si="29"/>
        <v>0</v>
      </c>
      <c r="M117" s="10" t="s">
        <v>677</v>
      </c>
      <c r="N117" s="10" t="s">
        <v>677</v>
      </c>
      <c r="O117" s="10" t="s">
        <v>677</v>
      </c>
      <c r="P117" s="10" t="s">
        <v>677</v>
      </c>
      <c r="AU117" s="7"/>
      <c r="AV117" s="28">
        <v>0</v>
      </c>
      <c r="AW117" s="3" t="s">
        <v>677</v>
      </c>
    </row>
    <row r="118" spans="1:49" ht="28.5" customHeight="1" x14ac:dyDescent="0.3">
      <c r="A118" s="10" t="s">
        <v>677</v>
      </c>
      <c r="B118" s="10" t="s">
        <v>677</v>
      </c>
      <c r="C118" s="10" t="s">
        <v>677</v>
      </c>
      <c r="D118" s="1">
        <v>0</v>
      </c>
      <c r="E118" s="1">
        <v>0</v>
      </c>
      <c r="F118" s="1">
        <f t="shared" si="25"/>
        <v>0</v>
      </c>
      <c r="G118" s="1">
        <v>0</v>
      </c>
      <c r="H118" s="1">
        <f t="shared" si="26"/>
        <v>0</v>
      </c>
      <c r="I118" s="1">
        <v>0</v>
      </c>
      <c r="J118" s="1">
        <f t="shared" si="27"/>
        <v>0</v>
      </c>
      <c r="K118" s="1">
        <f t="shared" si="28"/>
        <v>0</v>
      </c>
      <c r="L118" s="1">
        <f t="shared" si="29"/>
        <v>0</v>
      </c>
      <c r="M118" s="10" t="s">
        <v>677</v>
      </c>
      <c r="N118" s="10" t="s">
        <v>677</v>
      </c>
      <c r="O118" s="10" t="s">
        <v>677</v>
      </c>
      <c r="P118" s="10" t="s">
        <v>677</v>
      </c>
      <c r="AU118" s="7"/>
      <c r="AV118" s="28">
        <v>0</v>
      </c>
      <c r="AW118" s="3" t="s">
        <v>677</v>
      </c>
    </row>
    <row r="119" spans="1:49" ht="28.5" customHeight="1" x14ac:dyDescent="0.3">
      <c r="A119" s="10" t="s">
        <v>677</v>
      </c>
      <c r="B119" s="10" t="s">
        <v>677</v>
      </c>
      <c r="C119" s="10" t="s">
        <v>677</v>
      </c>
      <c r="D119" s="1">
        <v>0</v>
      </c>
      <c r="E119" s="1">
        <v>0</v>
      </c>
      <c r="F119" s="1">
        <f t="shared" si="25"/>
        <v>0</v>
      </c>
      <c r="G119" s="1">
        <v>0</v>
      </c>
      <c r="H119" s="1">
        <f t="shared" si="26"/>
        <v>0</v>
      </c>
      <c r="I119" s="1">
        <v>0</v>
      </c>
      <c r="J119" s="1">
        <f t="shared" si="27"/>
        <v>0</v>
      </c>
      <c r="K119" s="1">
        <f t="shared" si="28"/>
        <v>0</v>
      </c>
      <c r="L119" s="1">
        <f t="shared" si="29"/>
        <v>0</v>
      </c>
      <c r="M119" s="10" t="s">
        <v>677</v>
      </c>
      <c r="N119" s="10" t="s">
        <v>677</v>
      </c>
      <c r="O119" s="10" t="s">
        <v>677</v>
      </c>
      <c r="P119" s="10" t="s">
        <v>677</v>
      </c>
      <c r="AU119" s="7"/>
      <c r="AV119" s="28">
        <v>0</v>
      </c>
      <c r="AW119" s="3" t="s">
        <v>677</v>
      </c>
    </row>
    <row r="120" spans="1:49" ht="28.5" customHeight="1" x14ac:dyDescent="0.3">
      <c r="A120" s="10" t="s">
        <v>677</v>
      </c>
      <c r="B120" s="10" t="s">
        <v>677</v>
      </c>
      <c r="C120" s="10" t="s">
        <v>677</v>
      </c>
      <c r="D120" s="1">
        <v>0</v>
      </c>
      <c r="E120" s="1">
        <v>0</v>
      </c>
      <c r="F120" s="1">
        <f t="shared" si="25"/>
        <v>0</v>
      </c>
      <c r="G120" s="1">
        <v>0</v>
      </c>
      <c r="H120" s="1">
        <f t="shared" si="26"/>
        <v>0</v>
      </c>
      <c r="I120" s="1">
        <v>0</v>
      </c>
      <c r="J120" s="1">
        <f t="shared" si="27"/>
        <v>0</v>
      </c>
      <c r="K120" s="1">
        <f t="shared" si="28"/>
        <v>0</v>
      </c>
      <c r="L120" s="1">
        <f t="shared" si="29"/>
        <v>0</v>
      </c>
      <c r="M120" s="10" t="s">
        <v>677</v>
      </c>
      <c r="N120" s="10" t="s">
        <v>677</v>
      </c>
      <c r="O120" s="10" t="s">
        <v>677</v>
      </c>
      <c r="P120" s="10" t="s">
        <v>677</v>
      </c>
      <c r="AU120" s="7"/>
      <c r="AV120" s="28">
        <v>0</v>
      </c>
      <c r="AW120" s="3" t="s">
        <v>677</v>
      </c>
    </row>
    <row r="121" spans="1:49" ht="28.5" customHeight="1" x14ac:dyDescent="0.3">
      <c r="A121" s="10" t="s">
        <v>677</v>
      </c>
      <c r="B121" s="10" t="s">
        <v>677</v>
      </c>
      <c r="C121" s="10" t="s">
        <v>677</v>
      </c>
      <c r="D121" s="1">
        <v>0</v>
      </c>
      <c r="E121" s="1">
        <v>0</v>
      </c>
      <c r="F121" s="1">
        <f t="shared" si="25"/>
        <v>0</v>
      </c>
      <c r="G121" s="1">
        <v>0</v>
      </c>
      <c r="H121" s="1">
        <f t="shared" si="26"/>
        <v>0</v>
      </c>
      <c r="I121" s="1">
        <v>0</v>
      </c>
      <c r="J121" s="1">
        <f t="shared" si="27"/>
        <v>0</v>
      </c>
      <c r="K121" s="1">
        <f t="shared" si="28"/>
        <v>0</v>
      </c>
      <c r="L121" s="1">
        <f t="shared" si="29"/>
        <v>0</v>
      </c>
      <c r="M121" s="10" t="s">
        <v>677</v>
      </c>
      <c r="N121" s="10" t="s">
        <v>677</v>
      </c>
      <c r="O121" s="10" t="s">
        <v>677</v>
      </c>
      <c r="P121" s="10" t="s">
        <v>677</v>
      </c>
      <c r="AU121" s="7"/>
      <c r="AV121" s="28">
        <v>0</v>
      </c>
      <c r="AW121" s="3" t="s">
        <v>677</v>
      </c>
    </row>
    <row r="122" spans="1:49" ht="28.5" customHeight="1" x14ac:dyDescent="0.3">
      <c r="A122" s="10" t="s">
        <v>677</v>
      </c>
      <c r="B122" s="10" t="s">
        <v>677</v>
      </c>
      <c r="C122" s="10" t="s">
        <v>677</v>
      </c>
      <c r="D122" s="1">
        <v>0</v>
      </c>
      <c r="E122" s="1">
        <v>0</v>
      </c>
      <c r="F122" s="1">
        <f t="shared" si="25"/>
        <v>0</v>
      </c>
      <c r="G122" s="1">
        <v>0</v>
      </c>
      <c r="H122" s="1">
        <f t="shared" si="26"/>
        <v>0</v>
      </c>
      <c r="I122" s="1">
        <v>0</v>
      </c>
      <c r="J122" s="1">
        <f t="shared" si="27"/>
        <v>0</v>
      </c>
      <c r="K122" s="1">
        <f t="shared" si="28"/>
        <v>0</v>
      </c>
      <c r="L122" s="1">
        <f t="shared" si="29"/>
        <v>0</v>
      </c>
      <c r="M122" s="10" t="s">
        <v>677</v>
      </c>
      <c r="N122" s="10" t="s">
        <v>677</v>
      </c>
      <c r="O122" s="10" t="s">
        <v>677</v>
      </c>
      <c r="P122" s="10" t="s">
        <v>677</v>
      </c>
      <c r="AU122" s="7"/>
      <c r="AV122" s="28">
        <v>0</v>
      </c>
      <c r="AW122" s="3" t="s">
        <v>677</v>
      </c>
    </row>
    <row r="123" spans="1:49" ht="28.5" customHeight="1" x14ac:dyDescent="0.3">
      <c r="A123" s="10" t="s">
        <v>677</v>
      </c>
      <c r="B123" s="10" t="s">
        <v>677</v>
      </c>
      <c r="C123" s="10" t="s">
        <v>677</v>
      </c>
      <c r="D123" s="1">
        <v>0</v>
      </c>
      <c r="E123" s="1">
        <v>0</v>
      </c>
      <c r="F123" s="1">
        <f t="shared" si="25"/>
        <v>0</v>
      </c>
      <c r="G123" s="1">
        <v>0</v>
      </c>
      <c r="H123" s="1">
        <f t="shared" si="26"/>
        <v>0</v>
      </c>
      <c r="I123" s="1">
        <v>0</v>
      </c>
      <c r="J123" s="1">
        <f t="shared" si="27"/>
        <v>0</v>
      </c>
      <c r="K123" s="1">
        <f t="shared" si="28"/>
        <v>0</v>
      </c>
      <c r="L123" s="1">
        <f t="shared" si="29"/>
        <v>0</v>
      </c>
      <c r="M123" s="10" t="s">
        <v>677</v>
      </c>
      <c r="N123" s="10" t="s">
        <v>677</v>
      </c>
      <c r="O123" s="10" t="s">
        <v>677</v>
      </c>
      <c r="P123" s="10" t="s">
        <v>677</v>
      </c>
      <c r="AU123" s="7"/>
      <c r="AV123" s="28">
        <v>0</v>
      </c>
      <c r="AW123" s="3" t="s">
        <v>677</v>
      </c>
    </row>
    <row r="124" spans="1:49" ht="28.5" customHeight="1" x14ac:dyDescent="0.3">
      <c r="A124" s="10" t="s">
        <v>677</v>
      </c>
      <c r="B124" s="10" t="s">
        <v>677</v>
      </c>
      <c r="C124" s="10" t="s">
        <v>677</v>
      </c>
      <c r="D124" s="1">
        <v>0</v>
      </c>
      <c r="E124" s="1">
        <v>0</v>
      </c>
      <c r="F124" s="1">
        <f t="shared" si="25"/>
        <v>0</v>
      </c>
      <c r="G124" s="1">
        <v>0</v>
      </c>
      <c r="H124" s="1">
        <f t="shared" si="26"/>
        <v>0</v>
      </c>
      <c r="I124" s="1">
        <v>0</v>
      </c>
      <c r="J124" s="1">
        <f t="shared" si="27"/>
        <v>0</v>
      </c>
      <c r="K124" s="1">
        <f t="shared" si="28"/>
        <v>0</v>
      </c>
      <c r="L124" s="1">
        <f t="shared" si="29"/>
        <v>0</v>
      </c>
      <c r="M124" s="10" t="s">
        <v>677</v>
      </c>
      <c r="N124" s="10" t="s">
        <v>677</v>
      </c>
      <c r="O124" s="10" t="s">
        <v>677</v>
      </c>
      <c r="P124" s="10" t="s">
        <v>677</v>
      </c>
      <c r="AU124" s="7"/>
      <c r="AV124" s="28">
        <v>0</v>
      </c>
      <c r="AW124" s="3" t="s">
        <v>677</v>
      </c>
    </row>
    <row r="125" spans="1:49" ht="28.5" customHeight="1" x14ac:dyDescent="0.3">
      <c r="A125" s="10" t="s">
        <v>677</v>
      </c>
      <c r="B125" s="10" t="s">
        <v>677</v>
      </c>
      <c r="C125" s="10" t="s">
        <v>677</v>
      </c>
      <c r="D125" s="1">
        <v>0</v>
      </c>
      <c r="E125" s="1">
        <v>0</v>
      </c>
      <c r="F125" s="1">
        <f t="shared" si="25"/>
        <v>0</v>
      </c>
      <c r="G125" s="1">
        <v>0</v>
      </c>
      <c r="H125" s="1">
        <f t="shared" si="26"/>
        <v>0</v>
      </c>
      <c r="I125" s="1">
        <v>0</v>
      </c>
      <c r="J125" s="1">
        <f t="shared" si="27"/>
        <v>0</v>
      </c>
      <c r="K125" s="1">
        <f t="shared" si="28"/>
        <v>0</v>
      </c>
      <c r="L125" s="1">
        <f t="shared" si="29"/>
        <v>0</v>
      </c>
      <c r="M125" s="10" t="s">
        <v>677</v>
      </c>
      <c r="N125" s="10" t="s">
        <v>677</v>
      </c>
      <c r="O125" s="10" t="s">
        <v>677</v>
      </c>
      <c r="P125" s="10" t="s">
        <v>677</v>
      </c>
      <c r="AU125" s="7"/>
      <c r="AV125" s="28">
        <v>0</v>
      </c>
      <c r="AW125" s="3" t="s">
        <v>677</v>
      </c>
    </row>
    <row r="126" spans="1:49" ht="28.5" customHeight="1" x14ac:dyDescent="0.3">
      <c r="A126" s="10" t="s">
        <v>677</v>
      </c>
      <c r="B126" s="10" t="s">
        <v>677</v>
      </c>
      <c r="C126" s="10" t="s">
        <v>677</v>
      </c>
      <c r="D126" s="1">
        <v>0</v>
      </c>
      <c r="E126" s="1">
        <v>0</v>
      </c>
      <c r="F126" s="1">
        <f t="shared" si="25"/>
        <v>0</v>
      </c>
      <c r="G126" s="1">
        <v>0</v>
      </c>
      <c r="H126" s="1">
        <f t="shared" si="26"/>
        <v>0</v>
      </c>
      <c r="I126" s="1">
        <v>0</v>
      </c>
      <c r="J126" s="1">
        <f t="shared" si="27"/>
        <v>0</v>
      </c>
      <c r="K126" s="1">
        <f t="shared" si="28"/>
        <v>0</v>
      </c>
      <c r="L126" s="1">
        <f t="shared" si="29"/>
        <v>0</v>
      </c>
      <c r="M126" s="10" t="s">
        <v>677</v>
      </c>
      <c r="N126" s="10" t="s">
        <v>677</v>
      </c>
      <c r="O126" s="10" t="s">
        <v>677</v>
      </c>
      <c r="P126" s="10" t="s">
        <v>677</v>
      </c>
      <c r="AU126" s="7"/>
      <c r="AV126" s="28">
        <v>0</v>
      </c>
      <c r="AW126" s="3" t="s">
        <v>677</v>
      </c>
    </row>
    <row r="127" spans="1:49" ht="28.5" customHeight="1" x14ac:dyDescent="0.3">
      <c r="A127" s="10" t="s">
        <v>677</v>
      </c>
      <c r="B127" s="10" t="s">
        <v>677</v>
      </c>
      <c r="C127" s="10" t="s">
        <v>677</v>
      </c>
      <c r="D127" s="1">
        <v>0</v>
      </c>
      <c r="E127" s="1">
        <v>0</v>
      </c>
      <c r="F127" s="1">
        <f t="shared" si="25"/>
        <v>0</v>
      </c>
      <c r="G127" s="1">
        <v>0</v>
      </c>
      <c r="H127" s="1">
        <f t="shared" si="26"/>
        <v>0</v>
      </c>
      <c r="I127" s="1">
        <v>0</v>
      </c>
      <c r="J127" s="1">
        <f t="shared" si="27"/>
        <v>0</v>
      </c>
      <c r="K127" s="1">
        <f t="shared" si="28"/>
        <v>0</v>
      </c>
      <c r="L127" s="1">
        <f t="shared" si="29"/>
        <v>0</v>
      </c>
      <c r="M127" s="10" t="s">
        <v>677</v>
      </c>
      <c r="N127" s="10" t="s">
        <v>677</v>
      </c>
      <c r="O127" s="10" t="s">
        <v>677</v>
      </c>
      <c r="P127" s="10" t="s">
        <v>677</v>
      </c>
      <c r="AU127" s="7"/>
      <c r="AV127" s="28">
        <v>0</v>
      </c>
      <c r="AW127" s="3" t="s">
        <v>677</v>
      </c>
    </row>
    <row r="128" spans="1:49" ht="28.5" customHeight="1" x14ac:dyDescent="0.3">
      <c r="A128" s="10" t="s">
        <v>677</v>
      </c>
      <c r="B128" s="10" t="s">
        <v>677</v>
      </c>
      <c r="C128" s="10" t="s">
        <v>677</v>
      </c>
      <c r="D128" s="1">
        <v>0</v>
      </c>
      <c r="E128" s="1">
        <v>0</v>
      </c>
      <c r="F128" s="1">
        <f t="shared" si="25"/>
        <v>0</v>
      </c>
      <c r="G128" s="1">
        <v>0</v>
      </c>
      <c r="H128" s="1">
        <f t="shared" si="26"/>
        <v>0</v>
      </c>
      <c r="I128" s="1">
        <v>0</v>
      </c>
      <c r="J128" s="1">
        <f t="shared" si="27"/>
        <v>0</v>
      </c>
      <c r="K128" s="1">
        <f t="shared" si="28"/>
        <v>0</v>
      </c>
      <c r="L128" s="1">
        <f t="shared" si="29"/>
        <v>0</v>
      </c>
      <c r="M128" s="10" t="s">
        <v>677</v>
      </c>
      <c r="N128" s="10" t="s">
        <v>677</v>
      </c>
      <c r="O128" s="10" t="s">
        <v>677</v>
      </c>
      <c r="P128" s="10" t="s">
        <v>677</v>
      </c>
      <c r="AU128" s="7"/>
      <c r="AV128" s="28">
        <v>0</v>
      </c>
      <c r="AW128" s="3" t="s">
        <v>677</v>
      </c>
    </row>
    <row r="129" spans="1:49" ht="28.5" customHeight="1" x14ac:dyDescent="0.3">
      <c r="A129" s="10" t="s">
        <v>677</v>
      </c>
      <c r="B129" s="10" t="s">
        <v>677</v>
      </c>
      <c r="C129" s="10" t="s">
        <v>677</v>
      </c>
      <c r="D129" s="1">
        <v>0</v>
      </c>
      <c r="E129" s="1">
        <v>0</v>
      </c>
      <c r="F129" s="1">
        <f t="shared" si="25"/>
        <v>0</v>
      </c>
      <c r="G129" s="1">
        <v>0</v>
      </c>
      <c r="H129" s="1">
        <f t="shared" si="26"/>
        <v>0</v>
      </c>
      <c r="I129" s="1">
        <v>0</v>
      </c>
      <c r="J129" s="1">
        <f t="shared" si="27"/>
        <v>0</v>
      </c>
      <c r="K129" s="1">
        <f t="shared" si="28"/>
        <v>0</v>
      </c>
      <c r="L129" s="1">
        <f t="shared" si="29"/>
        <v>0</v>
      </c>
      <c r="M129" s="10" t="s">
        <v>677</v>
      </c>
      <c r="N129" s="10" t="s">
        <v>677</v>
      </c>
      <c r="O129" s="10" t="s">
        <v>677</v>
      </c>
      <c r="P129" s="10" t="s">
        <v>677</v>
      </c>
      <c r="AU129" s="7"/>
      <c r="AV129" s="28">
        <v>0</v>
      </c>
      <c r="AW129" s="3" t="s">
        <v>677</v>
      </c>
    </row>
    <row r="130" spans="1:49" ht="28.5" customHeight="1" x14ac:dyDescent="0.3">
      <c r="A130" s="10" t="s">
        <v>109</v>
      </c>
      <c r="B130" s="10" t="s">
        <v>677</v>
      </c>
      <c r="C130" s="10" t="s">
        <v>677</v>
      </c>
      <c r="D130" s="10" t="s">
        <v>677</v>
      </c>
      <c r="E130" s="27">
        <v>0</v>
      </c>
      <c r="F130" s="1">
        <f>TRUNC(SUMIF(Q108:Q129, Q107,F108:F129),0)</f>
        <v>14976194</v>
      </c>
      <c r="G130" s="1">
        <v>0</v>
      </c>
      <c r="H130" s="1">
        <f>TRUNC(SUMIF(Q108:Q129, Q107,H108:H129),0)</f>
        <v>3019179</v>
      </c>
      <c r="I130" s="1">
        <v>0</v>
      </c>
      <c r="J130" s="1">
        <f>TRUNC(SUMIF(Q108:Q129, Q107,J108:J129),0)</f>
        <v>0</v>
      </c>
      <c r="K130" s="12" t="s">
        <v>677</v>
      </c>
      <c r="L130" s="1">
        <f>F130+H130+J130</f>
        <v>17995373</v>
      </c>
      <c r="M130" s="10"/>
      <c r="AW130" s="10" t="s">
        <v>677</v>
      </c>
    </row>
    <row r="131" spans="1:49" ht="28.5" customHeight="1" x14ac:dyDescent="0.3">
      <c r="A131" s="10" t="s">
        <v>113</v>
      </c>
      <c r="B131" s="10"/>
      <c r="C131" s="10"/>
      <c r="D131" s="10" t="s">
        <v>677</v>
      </c>
      <c r="E131" s="10" t="s">
        <v>677</v>
      </c>
      <c r="F131" s="10" t="s">
        <v>677</v>
      </c>
      <c r="G131" s="10" t="s">
        <v>677</v>
      </c>
      <c r="H131" s="10" t="s">
        <v>677</v>
      </c>
      <c r="I131" s="10" t="s">
        <v>677</v>
      </c>
      <c r="J131" s="10" t="s">
        <v>677</v>
      </c>
      <c r="K131" s="10" t="s">
        <v>677</v>
      </c>
      <c r="L131" s="10" t="s">
        <v>677</v>
      </c>
      <c r="M131" s="10" t="s">
        <v>677</v>
      </c>
      <c r="N131" s="5" t="s">
        <v>677</v>
      </c>
      <c r="Q131" s="7" t="s">
        <v>247</v>
      </c>
      <c r="R131" s="28">
        <v>600000</v>
      </c>
      <c r="S131" s="28">
        <v>0</v>
      </c>
      <c r="AH131" s="7"/>
      <c r="AW131" s="10" t="s">
        <v>677</v>
      </c>
    </row>
    <row r="132" spans="1:49" ht="28.5" customHeight="1" x14ac:dyDescent="0.3">
      <c r="A132" s="10" t="s">
        <v>772</v>
      </c>
      <c r="B132" s="10" t="s">
        <v>1095</v>
      </c>
      <c r="C132" s="10" t="s">
        <v>71</v>
      </c>
      <c r="D132" s="22">
        <v>8.4499999999999993</v>
      </c>
      <c r="E132" s="1">
        <f>ROUNDDOWN(ROUNDDOWN(단가대비표!U17,0)*AV132/100,0)</f>
        <v>79060</v>
      </c>
      <c r="F132" s="1">
        <f t="shared" ref="F132:F155" si="35">ROUNDDOWN(D132*E132,0)</f>
        <v>668057</v>
      </c>
      <c r="G132" s="1">
        <f>ROUNDDOWN(ROUNDDOWN(단가대비표!V17,0)*AV132/100,0)</f>
        <v>0</v>
      </c>
      <c r="H132" s="1">
        <f t="shared" ref="H132:H155" si="36">ROUNDDOWN(D132*G132,0)</f>
        <v>0</v>
      </c>
      <c r="I132" s="1">
        <f>ROUNDDOWN(ROUNDDOWN(단가대비표!AE17,0)*AV132/100,0)</f>
        <v>0</v>
      </c>
      <c r="J132" s="1">
        <f t="shared" ref="J132:J155" si="37">ROUNDDOWN(D132*I132,0)</f>
        <v>0</v>
      </c>
      <c r="K132" s="1">
        <f t="shared" ref="K132:K155" si="38">ROUNDDOWN(E132+G132+I132,0)</f>
        <v>79060</v>
      </c>
      <c r="L132" s="1">
        <f t="shared" ref="L132:L155" si="39">ROUNDDOWN(F132+H132+J132,0)</f>
        <v>668057</v>
      </c>
      <c r="M132" s="10" t="s">
        <v>677</v>
      </c>
      <c r="N132" s="2" t="str">
        <f>HYPERLINK("#단가대비표!B16", "3011150521001722")</f>
        <v>3011150521001722</v>
      </c>
      <c r="O132" s="7" t="s">
        <v>677</v>
      </c>
      <c r="P132" s="7" t="s">
        <v>677</v>
      </c>
      <c r="Q132" s="7" t="s">
        <v>247</v>
      </c>
      <c r="R132" s="28">
        <v>600000</v>
      </c>
      <c r="S132" s="28">
        <v>15</v>
      </c>
      <c r="T132" s="7" t="s">
        <v>399</v>
      </c>
      <c r="U132" s="7" t="s">
        <v>399</v>
      </c>
      <c r="V132" s="7" t="s">
        <v>731</v>
      </c>
      <c r="W132" s="7" t="s">
        <v>677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6</v>
      </c>
      <c r="AJ132" s="28">
        <v>0</v>
      </c>
      <c r="AK132" s="28">
        <v>0</v>
      </c>
      <c r="AL132" s="28">
        <v>0</v>
      </c>
      <c r="AM132" s="28">
        <v>0</v>
      </c>
      <c r="AN132" s="28">
        <v>0</v>
      </c>
      <c r="AO132" s="28">
        <v>0</v>
      </c>
      <c r="AP132" s="28">
        <v>0</v>
      </c>
      <c r="AQ132" s="28">
        <v>0</v>
      </c>
      <c r="AR132" s="28">
        <v>0</v>
      </c>
      <c r="AS132" s="28">
        <v>0</v>
      </c>
      <c r="AT132" s="28">
        <v>0</v>
      </c>
      <c r="AU132" s="7" t="s">
        <v>677</v>
      </c>
      <c r="AV132" s="28">
        <v>100</v>
      </c>
      <c r="AW132" s="3" t="s">
        <v>1036</v>
      </c>
    </row>
    <row r="133" spans="1:49" ht="28.5" customHeight="1" x14ac:dyDescent="0.3">
      <c r="A133" s="10" t="s">
        <v>124</v>
      </c>
      <c r="B133" s="10" t="s">
        <v>269</v>
      </c>
      <c r="C133" s="10" t="s">
        <v>71</v>
      </c>
      <c r="D133" s="22">
        <v>8.4499999999999993</v>
      </c>
      <c r="E133" s="1">
        <f>ROUNDDOWN(ROUNDDOWN(일위대가목록!E18,0)*AV133/100,0)</f>
        <v>2900</v>
      </c>
      <c r="F133" s="1">
        <f t="shared" si="35"/>
        <v>24505</v>
      </c>
      <c r="G133" s="1">
        <f>ROUNDDOWN(ROUNDDOWN(일위대가목록!F18,0)*AV133/100,0)</f>
        <v>24389</v>
      </c>
      <c r="H133" s="1">
        <f t="shared" si="36"/>
        <v>206087</v>
      </c>
      <c r="I133" s="1">
        <f>ROUNDDOWN(ROUNDDOWN(일위대가목록!G18,0)*AV133/100,0)</f>
        <v>2238</v>
      </c>
      <c r="J133" s="1">
        <f t="shared" si="37"/>
        <v>18911</v>
      </c>
      <c r="K133" s="1">
        <f t="shared" si="38"/>
        <v>29527</v>
      </c>
      <c r="L133" s="1">
        <f t="shared" si="39"/>
        <v>249503</v>
      </c>
      <c r="M133" s="10"/>
      <c r="N133" s="2" t="str">
        <f>HYPERLINK("#일위대가목록!A18", "ADF00000100S")</f>
        <v>ADF00000100S</v>
      </c>
      <c r="O133" s="7" t="s">
        <v>677</v>
      </c>
      <c r="P133" s="7" t="s">
        <v>677</v>
      </c>
      <c r="Q133" s="7" t="s">
        <v>247</v>
      </c>
      <c r="R133" s="28">
        <v>600000</v>
      </c>
      <c r="S133" s="28">
        <v>20</v>
      </c>
      <c r="T133" s="7" t="s">
        <v>731</v>
      </c>
      <c r="U133" s="7" t="s">
        <v>399</v>
      </c>
      <c r="V133" s="7" t="s">
        <v>399</v>
      </c>
      <c r="W133" s="7" t="s">
        <v>677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6</v>
      </c>
      <c r="AJ133" s="28">
        <v>0</v>
      </c>
      <c r="AK133" s="28">
        <v>0</v>
      </c>
      <c r="AL133" s="28">
        <v>0</v>
      </c>
      <c r="AM133" s="28">
        <v>0</v>
      </c>
      <c r="AN133" s="28">
        <v>0</v>
      </c>
      <c r="AO133" s="28">
        <v>0</v>
      </c>
      <c r="AP133" s="28">
        <v>0</v>
      </c>
      <c r="AQ133" s="28">
        <v>0</v>
      </c>
      <c r="AR133" s="28">
        <v>0</v>
      </c>
      <c r="AS133" s="28">
        <v>0</v>
      </c>
      <c r="AT133" s="28">
        <v>0</v>
      </c>
      <c r="AU133" s="7" t="s">
        <v>677</v>
      </c>
      <c r="AV133" s="28">
        <v>100</v>
      </c>
      <c r="AW133" s="3" t="s">
        <v>967</v>
      </c>
    </row>
    <row r="134" spans="1:49" ht="28.5" customHeight="1" x14ac:dyDescent="0.3">
      <c r="A134" s="10" t="s">
        <v>354</v>
      </c>
      <c r="B134" s="10" t="s">
        <v>823</v>
      </c>
      <c r="C134" s="10" t="s">
        <v>924</v>
      </c>
      <c r="D134" s="22">
        <v>0.22</v>
      </c>
      <c r="E134" s="1">
        <f>ROUNDDOWN(ROUNDDOWN(단가대비표!U13,0)*AV134/100,0)</f>
        <v>989310</v>
      </c>
      <c r="F134" s="1">
        <f t="shared" si="35"/>
        <v>217648</v>
      </c>
      <c r="G134" s="1">
        <f>ROUNDDOWN(ROUNDDOWN(단가대비표!V13,0)*AV134/100,0)</f>
        <v>0</v>
      </c>
      <c r="H134" s="1">
        <f t="shared" si="36"/>
        <v>0</v>
      </c>
      <c r="I134" s="1">
        <f>ROUNDDOWN(ROUNDDOWN(단가대비표!AE13,0)*AV134/100,0)</f>
        <v>0</v>
      </c>
      <c r="J134" s="1">
        <f t="shared" si="37"/>
        <v>0</v>
      </c>
      <c r="K134" s="1">
        <f t="shared" si="38"/>
        <v>989310</v>
      </c>
      <c r="L134" s="1">
        <f t="shared" si="39"/>
        <v>217648</v>
      </c>
      <c r="M134" s="10" t="s">
        <v>677</v>
      </c>
      <c r="N134" s="2" t="str">
        <f>HYPERLINK("#단가대비표!B12", "3010161920160912")</f>
        <v>3010161920160912</v>
      </c>
      <c r="O134" s="7" t="s">
        <v>677</v>
      </c>
      <c r="P134" s="7" t="s">
        <v>677</v>
      </c>
      <c r="Q134" s="7" t="s">
        <v>247</v>
      </c>
      <c r="R134" s="28">
        <v>600000</v>
      </c>
      <c r="S134" s="28">
        <v>30</v>
      </c>
      <c r="T134" s="7" t="s">
        <v>399</v>
      </c>
      <c r="U134" s="7" t="s">
        <v>399</v>
      </c>
      <c r="V134" s="7" t="s">
        <v>731</v>
      </c>
      <c r="W134" s="7" t="s">
        <v>677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6</v>
      </c>
      <c r="AJ134" s="28">
        <v>0</v>
      </c>
      <c r="AK134" s="28">
        <v>0</v>
      </c>
      <c r="AL134" s="28">
        <v>0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7" t="s">
        <v>677</v>
      </c>
      <c r="AV134" s="28">
        <v>100</v>
      </c>
      <c r="AW134" s="3" t="s">
        <v>897</v>
      </c>
    </row>
    <row r="135" spans="1:49" ht="28.5" customHeight="1" x14ac:dyDescent="0.3">
      <c r="A135" s="10" t="s">
        <v>948</v>
      </c>
      <c r="B135" s="10" t="s">
        <v>251</v>
      </c>
      <c r="C135" s="10" t="s">
        <v>1038</v>
      </c>
      <c r="D135" s="22">
        <v>0.04</v>
      </c>
      <c r="E135" s="1">
        <f>ROUNDDOWN(ROUNDDOWN(일위대가목록!E19,0)*AV135/100,0)</f>
        <v>1020000</v>
      </c>
      <c r="F135" s="1">
        <f t="shared" si="35"/>
        <v>40800</v>
      </c>
      <c r="G135" s="1">
        <f>ROUNDDOWN(ROUNDDOWN(일위대가목록!F19,0)*AV135/100,0)</f>
        <v>0</v>
      </c>
      <c r="H135" s="1">
        <f t="shared" si="36"/>
        <v>0</v>
      </c>
      <c r="I135" s="1">
        <f>ROUNDDOWN(ROUNDDOWN(일위대가목록!G19,0)*AV135/100,0)</f>
        <v>0</v>
      </c>
      <c r="J135" s="1">
        <f t="shared" si="37"/>
        <v>0</v>
      </c>
      <c r="K135" s="1">
        <f t="shared" si="38"/>
        <v>1020000</v>
      </c>
      <c r="L135" s="1">
        <f t="shared" si="39"/>
        <v>40800</v>
      </c>
      <c r="M135" s="10" t="s">
        <v>677</v>
      </c>
      <c r="N135" s="2" t="str">
        <f>HYPERLINK("#일위대가목록!A19", "CEE000110120")</f>
        <v>CEE000110120</v>
      </c>
      <c r="O135" s="7" t="s">
        <v>677</v>
      </c>
      <c r="P135" s="7" t="s">
        <v>677</v>
      </c>
      <c r="Q135" s="7" t="s">
        <v>247</v>
      </c>
      <c r="R135" s="28">
        <v>600000</v>
      </c>
      <c r="S135" s="28">
        <v>40</v>
      </c>
      <c r="T135" s="7" t="s">
        <v>731</v>
      </c>
      <c r="U135" s="7" t="s">
        <v>399</v>
      </c>
      <c r="V135" s="7" t="s">
        <v>399</v>
      </c>
      <c r="W135" s="7" t="s">
        <v>677</v>
      </c>
      <c r="X135" s="28">
        <v>0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</v>
      </c>
      <c r="AE135" s="28">
        <v>0</v>
      </c>
      <c r="AF135" s="28">
        <v>0</v>
      </c>
      <c r="AG135" s="28">
        <v>0</v>
      </c>
      <c r="AH135" s="28">
        <v>0</v>
      </c>
      <c r="AI135" s="28">
        <v>6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7" t="s">
        <v>677</v>
      </c>
      <c r="AV135" s="28">
        <v>100</v>
      </c>
      <c r="AW135" s="3" t="s">
        <v>286</v>
      </c>
    </row>
    <row r="136" spans="1:49" ht="28.5" customHeight="1" x14ac:dyDescent="0.3">
      <c r="A136" s="10" t="s">
        <v>421</v>
      </c>
      <c r="B136" s="10" t="s">
        <v>506</v>
      </c>
      <c r="C136" s="10" t="s">
        <v>1038</v>
      </c>
      <c r="D136" s="22">
        <v>0.26</v>
      </c>
      <c r="E136" s="1">
        <f>ROUNDDOWN(ROUNDDOWN(일위대가목록!E20,0)*AV136/100,0)</f>
        <v>9906</v>
      </c>
      <c r="F136" s="1">
        <f t="shared" si="35"/>
        <v>2575</v>
      </c>
      <c r="G136" s="1">
        <f>ROUNDDOWN(ROUNDDOWN(일위대가목록!F20,0)*AV136/100,0)</f>
        <v>958468</v>
      </c>
      <c r="H136" s="1">
        <f t="shared" si="36"/>
        <v>249201</v>
      </c>
      <c r="I136" s="1">
        <f>ROUNDDOWN(ROUNDDOWN(일위대가목록!G20,0)*AV136/100,0)</f>
        <v>28071</v>
      </c>
      <c r="J136" s="1">
        <f t="shared" si="37"/>
        <v>7298</v>
      </c>
      <c r="K136" s="1">
        <f t="shared" si="38"/>
        <v>996445</v>
      </c>
      <c r="L136" s="1">
        <f t="shared" si="39"/>
        <v>259074</v>
      </c>
      <c r="M136" s="10"/>
      <c r="N136" s="2" t="str">
        <f>HYPERLINK("#일위대가목록!A20", "ADB000000100")</f>
        <v>ADB000000100</v>
      </c>
      <c r="O136" s="7" t="s">
        <v>677</v>
      </c>
      <c r="P136" s="7" t="s">
        <v>677</v>
      </c>
      <c r="Q136" s="7" t="s">
        <v>247</v>
      </c>
      <c r="R136" s="28">
        <v>600000</v>
      </c>
      <c r="S136" s="28">
        <v>50</v>
      </c>
      <c r="T136" s="7" t="s">
        <v>731</v>
      </c>
      <c r="U136" s="7" t="s">
        <v>399</v>
      </c>
      <c r="V136" s="7" t="s">
        <v>399</v>
      </c>
      <c r="W136" s="7" t="s">
        <v>677</v>
      </c>
      <c r="X136" s="28">
        <v>0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6</v>
      </c>
      <c r="AJ136" s="28">
        <v>0</v>
      </c>
      <c r="AK136" s="28">
        <v>0</v>
      </c>
      <c r="AL136" s="28">
        <v>0</v>
      </c>
      <c r="AM136" s="28">
        <v>0</v>
      </c>
      <c r="AN136" s="28">
        <v>0</v>
      </c>
      <c r="AO136" s="28">
        <v>0</v>
      </c>
      <c r="AP136" s="28">
        <v>0</v>
      </c>
      <c r="AQ136" s="28">
        <v>0</v>
      </c>
      <c r="AR136" s="28">
        <v>0</v>
      </c>
      <c r="AS136" s="28">
        <v>0</v>
      </c>
      <c r="AT136" s="28">
        <v>0</v>
      </c>
      <c r="AU136" s="7" t="s">
        <v>677</v>
      </c>
      <c r="AV136" s="28">
        <v>100</v>
      </c>
      <c r="AW136" s="3" t="s">
        <v>120</v>
      </c>
    </row>
    <row r="137" spans="1:49" ht="28.5" customHeight="1" x14ac:dyDescent="0.3">
      <c r="A137" s="10" t="s">
        <v>690</v>
      </c>
      <c r="B137" s="10" t="s">
        <v>326</v>
      </c>
      <c r="C137" s="10" t="s">
        <v>801</v>
      </c>
      <c r="D137" s="22">
        <v>16.8</v>
      </c>
      <c r="E137" s="1">
        <f>ROUNDDOWN(ROUNDDOWN(일위대가목록!E21,0)*AV137/100,0)</f>
        <v>2998</v>
      </c>
      <c r="F137" s="1">
        <f t="shared" si="35"/>
        <v>50366</v>
      </c>
      <c r="G137" s="1">
        <f>ROUNDDOWN(ROUNDDOWN(일위대가목록!F21,0)*AV137/100,0)</f>
        <v>27711</v>
      </c>
      <c r="H137" s="1">
        <f t="shared" si="36"/>
        <v>465544</v>
      </c>
      <c r="I137" s="1">
        <f>ROUNDDOWN(ROUNDDOWN(일위대가목록!G21,0)*AV137/100,0)</f>
        <v>831</v>
      </c>
      <c r="J137" s="1">
        <f t="shared" si="37"/>
        <v>13960</v>
      </c>
      <c r="K137" s="1">
        <f t="shared" si="38"/>
        <v>31540</v>
      </c>
      <c r="L137" s="1">
        <f t="shared" si="39"/>
        <v>529870</v>
      </c>
      <c r="M137" s="10" t="s">
        <v>677</v>
      </c>
      <c r="N137" s="2" t="str">
        <f>HYPERLINK("#일위대가목록!A21", "ADA40100070S")</f>
        <v>ADA40100070S</v>
      </c>
      <c r="O137" s="7" t="s">
        <v>677</v>
      </c>
      <c r="P137" s="7" t="s">
        <v>677</v>
      </c>
      <c r="Q137" s="7" t="s">
        <v>247</v>
      </c>
      <c r="R137" s="28">
        <v>600000</v>
      </c>
      <c r="S137" s="28">
        <v>60</v>
      </c>
      <c r="T137" s="7" t="s">
        <v>731</v>
      </c>
      <c r="U137" s="7" t="s">
        <v>399</v>
      </c>
      <c r="V137" s="7" t="s">
        <v>399</v>
      </c>
      <c r="W137" s="7" t="s">
        <v>677</v>
      </c>
      <c r="X137" s="28">
        <v>0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6</v>
      </c>
      <c r="AJ137" s="28">
        <v>0</v>
      </c>
      <c r="AK137" s="28">
        <v>0</v>
      </c>
      <c r="AL137" s="28">
        <v>0</v>
      </c>
      <c r="AM137" s="28">
        <v>0</v>
      </c>
      <c r="AN137" s="28">
        <v>0</v>
      </c>
      <c r="AO137" s="28">
        <v>0</v>
      </c>
      <c r="AP137" s="28">
        <v>0</v>
      </c>
      <c r="AQ137" s="28">
        <v>0</v>
      </c>
      <c r="AR137" s="28">
        <v>0</v>
      </c>
      <c r="AS137" s="28">
        <v>0</v>
      </c>
      <c r="AT137" s="28">
        <v>0</v>
      </c>
      <c r="AU137" s="7" t="s">
        <v>677</v>
      </c>
      <c r="AV137" s="28">
        <v>100</v>
      </c>
      <c r="AW137" s="3" t="s">
        <v>913</v>
      </c>
    </row>
    <row r="138" spans="1:49" ht="28.5" customHeight="1" x14ac:dyDescent="0.3">
      <c r="A138" s="10" t="s">
        <v>336</v>
      </c>
      <c r="B138" s="10" t="s">
        <v>1013</v>
      </c>
      <c r="C138" s="10" t="s">
        <v>858</v>
      </c>
      <c r="D138" s="22">
        <v>8</v>
      </c>
      <c r="E138" s="1">
        <f>ROUNDDOWN(ROUNDDOWN(단가대비표!U26,0)*AV138/100,0)</f>
        <v>3440</v>
      </c>
      <c r="F138" s="1">
        <f t="shared" si="35"/>
        <v>27520</v>
      </c>
      <c r="G138" s="1">
        <f>ROUNDDOWN(ROUNDDOWN(단가대비표!V26,0)*AV138/100,0)</f>
        <v>0</v>
      </c>
      <c r="H138" s="1">
        <f t="shared" si="36"/>
        <v>0</v>
      </c>
      <c r="I138" s="1">
        <f>ROUNDDOWN(ROUNDDOWN(단가대비표!AE26,0)*AV138/100,0)</f>
        <v>0</v>
      </c>
      <c r="J138" s="1">
        <f t="shared" si="37"/>
        <v>0</v>
      </c>
      <c r="K138" s="1">
        <f t="shared" si="38"/>
        <v>3440</v>
      </c>
      <c r="L138" s="1">
        <f t="shared" si="39"/>
        <v>27520</v>
      </c>
      <c r="M138" s="10" t="s">
        <v>677</v>
      </c>
      <c r="N138" s="2" t="str">
        <f>HYPERLINK("#단가대비표!B25", "3116160121870820")</f>
        <v>3116160121870820</v>
      </c>
      <c r="O138" s="7" t="s">
        <v>677</v>
      </c>
      <c r="P138" s="7" t="s">
        <v>677</v>
      </c>
      <c r="Q138" s="7" t="s">
        <v>247</v>
      </c>
      <c r="R138" s="28">
        <v>600000</v>
      </c>
      <c r="S138" s="28">
        <v>70</v>
      </c>
      <c r="T138" s="7" t="s">
        <v>399</v>
      </c>
      <c r="U138" s="7" t="s">
        <v>399</v>
      </c>
      <c r="V138" s="7" t="s">
        <v>731</v>
      </c>
      <c r="W138" s="7" t="s">
        <v>677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6</v>
      </c>
      <c r="AJ138" s="28">
        <v>0</v>
      </c>
      <c r="AK138" s="28">
        <v>0</v>
      </c>
      <c r="AL138" s="28">
        <v>0</v>
      </c>
      <c r="AM138" s="28">
        <v>0</v>
      </c>
      <c r="AN138" s="28">
        <v>0</v>
      </c>
      <c r="AO138" s="28">
        <v>0</v>
      </c>
      <c r="AP138" s="28">
        <v>0</v>
      </c>
      <c r="AQ138" s="28">
        <v>0</v>
      </c>
      <c r="AR138" s="28">
        <v>0</v>
      </c>
      <c r="AS138" s="28">
        <v>0</v>
      </c>
      <c r="AT138" s="28">
        <v>0</v>
      </c>
      <c r="AU138" s="7" t="s">
        <v>677</v>
      </c>
      <c r="AV138" s="28">
        <v>100</v>
      </c>
      <c r="AW138" s="3" t="s">
        <v>919</v>
      </c>
    </row>
    <row r="139" spans="1:49" ht="28.5" customHeight="1" x14ac:dyDescent="0.3">
      <c r="A139" s="10" t="s">
        <v>706</v>
      </c>
      <c r="B139" s="10" t="s">
        <v>901</v>
      </c>
      <c r="C139" s="10" t="s">
        <v>858</v>
      </c>
      <c r="D139" s="22">
        <v>8</v>
      </c>
      <c r="E139" s="1">
        <f>ROUNDDOWN(ROUNDDOWN(일위대가목록!E22,0)*AV139/100,0)</f>
        <v>462</v>
      </c>
      <c r="F139" s="1">
        <f t="shared" si="35"/>
        <v>3696</v>
      </c>
      <c r="G139" s="1">
        <f>ROUNDDOWN(ROUNDDOWN(일위대가목록!F22,0)*AV139/100,0)</f>
        <v>23108</v>
      </c>
      <c r="H139" s="1">
        <f t="shared" si="36"/>
        <v>184864</v>
      </c>
      <c r="I139" s="1">
        <f>ROUNDDOWN(ROUNDDOWN(일위대가목록!G22,0)*AV139/100,0)</f>
        <v>0</v>
      </c>
      <c r="J139" s="1">
        <f t="shared" si="37"/>
        <v>0</v>
      </c>
      <c r="K139" s="1">
        <f t="shared" si="38"/>
        <v>23570</v>
      </c>
      <c r="L139" s="1">
        <f t="shared" si="39"/>
        <v>188560</v>
      </c>
      <c r="M139" s="10"/>
      <c r="N139" s="2" t="str">
        <f>HYPERLINK("#일위대가목록!A22", "AEB00000020S")</f>
        <v>AEB00000020S</v>
      </c>
      <c r="O139" s="7" t="s">
        <v>677</v>
      </c>
      <c r="P139" s="7" t="s">
        <v>677</v>
      </c>
      <c r="Q139" s="7" t="s">
        <v>247</v>
      </c>
      <c r="R139" s="28">
        <v>600000</v>
      </c>
      <c r="S139" s="28">
        <v>80</v>
      </c>
      <c r="T139" s="7" t="s">
        <v>731</v>
      </c>
      <c r="U139" s="7" t="s">
        <v>399</v>
      </c>
      <c r="V139" s="7" t="s">
        <v>399</v>
      </c>
      <c r="W139" s="7" t="s">
        <v>677</v>
      </c>
      <c r="X139" s="28">
        <v>0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6</v>
      </c>
      <c r="AJ139" s="28">
        <v>0</v>
      </c>
      <c r="AK139" s="28">
        <v>0</v>
      </c>
      <c r="AL139" s="28">
        <v>0</v>
      </c>
      <c r="AM139" s="28">
        <v>0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7" t="s">
        <v>677</v>
      </c>
      <c r="AV139" s="28">
        <v>100</v>
      </c>
      <c r="AW139" s="3" t="s">
        <v>788</v>
      </c>
    </row>
    <row r="140" spans="1:49" ht="28.5" customHeight="1" x14ac:dyDescent="0.3">
      <c r="A140" s="10" t="s">
        <v>1276</v>
      </c>
      <c r="B140" s="10" t="s">
        <v>87</v>
      </c>
      <c r="C140" s="10" t="s">
        <v>242</v>
      </c>
      <c r="D140" s="22">
        <v>6.94</v>
      </c>
      <c r="E140" s="1">
        <f>ROUNDDOWN(ROUNDDOWN(단가대비표!U33,0)*AV140/100,0)</f>
        <v>34290</v>
      </c>
      <c r="F140" s="1">
        <f t="shared" si="35"/>
        <v>237972</v>
      </c>
      <c r="G140" s="1">
        <f>ROUNDDOWN(ROUNDDOWN(단가대비표!V33,0)*AV140/100,0)</f>
        <v>0</v>
      </c>
      <c r="H140" s="1">
        <f t="shared" si="36"/>
        <v>0</v>
      </c>
      <c r="I140" s="1">
        <f>ROUNDDOWN(ROUNDDOWN(단가대비표!AE33,0)*AV140/100,0)</f>
        <v>0</v>
      </c>
      <c r="J140" s="1">
        <f t="shared" si="37"/>
        <v>0</v>
      </c>
      <c r="K140" s="1">
        <f t="shared" si="38"/>
        <v>34290</v>
      </c>
      <c r="L140" s="1">
        <f t="shared" si="39"/>
        <v>237972</v>
      </c>
      <c r="M140" s="10" t="s">
        <v>677</v>
      </c>
      <c r="N140" s="2" t="str">
        <f>HYPERLINK("#단가대비표!B35", "4014218820108849")</f>
        <v>4014218820108849</v>
      </c>
      <c r="O140" s="7" t="s">
        <v>677</v>
      </c>
      <c r="P140" s="7" t="s">
        <v>677</v>
      </c>
      <c r="Q140" s="7" t="s">
        <v>247</v>
      </c>
      <c r="R140" s="28">
        <v>600000</v>
      </c>
      <c r="S140" s="28">
        <v>90</v>
      </c>
      <c r="T140" s="7" t="s">
        <v>399</v>
      </c>
      <c r="U140" s="7" t="s">
        <v>399</v>
      </c>
      <c r="V140" s="7" t="s">
        <v>731</v>
      </c>
      <c r="W140" s="7" t="s">
        <v>677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</v>
      </c>
      <c r="AE140" s="28">
        <v>0</v>
      </c>
      <c r="AF140" s="28">
        <v>0</v>
      </c>
      <c r="AG140" s="28">
        <v>0</v>
      </c>
      <c r="AH140" s="28">
        <v>0</v>
      </c>
      <c r="AI140" s="28">
        <v>6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7" t="s">
        <v>677</v>
      </c>
      <c r="AV140" s="28">
        <v>100</v>
      </c>
      <c r="AW140" s="3" t="s">
        <v>893</v>
      </c>
    </row>
    <row r="141" spans="1:49" ht="28.5" customHeight="1" x14ac:dyDescent="0.3">
      <c r="A141" s="10" t="s">
        <v>304</v>
      </c>
      <c r="B141" s="10" t="s">
        <v>587</v>
      </c>
      <c r="C141" s="10" t="s">
        <v>933</v>
      </c>
      <c r="D141" s="22">
        <v>0.63800000000000001</v>
      </c>
      <c r="E141" s="1">
        <f>ROUNDDOWN(ROUNDDOWN(일위대가목록!E23,0)*AV141/100,0)</f>
        <v>381</v>
      </c>
      <c r="F141" s="1">
        <f t="shared" si="35"/>
        <v>243</v>
      </c>
      <c r="G141" s="1">
        <f>ROUNDDOWN(ROUNDDOWN(일위대가목록!F23,0)*AV141/100,0)</f>
        <v>9549</v>
      </c>
      <c r="H141" s="1">
        <f t="shared" si="36"/>
        <v>6092</v>
      </c>
      <c r="I141" s="1">
        <f>ROUNDDOWN(ROUNDDOWN(일위대가목록!G23,0)*AV141/100,0)</f>
        <v>0</v>
      </c>
      <c r="J141" s="1">
        <f t="shared" si="37"/>
        <v>0</v>
      </c>
      <c r="K141" s="1">
        <f t="shared" si="38"/>
        <v>9930</v>
      </c>
      <c r="L141" s="1">
        <f t="shared" si="39"/>
        <v>6335</v>
      </c>
      <c r="M141" s="10" t="s">
        <v>677</v>
      </c>
      <c r="N141" s="2" t="str">
        <f>HYPERLINK("#일위대가목록!A23", "AEE90200160S")</f>
        <v>AEE90200160S</v>
      </c>
      <c r="O141" s="7" t="s">
        <v>677</v>
      </c>
      <c r="P141" s="7" t="s">
        <v>677</v>
      </c>
      <c r="Q141" s="7" t="s">
        <v>247</v>
      </c>
      <c r="R141" s="28">
        <v>600000</v>
      </c>
      <c r="S141" s="28">
        <v>100</v>
      </c>
      <c r="T141" s="7" t="s">
        <v>731</v>
      </c>
      <c r="U141" s="7" t="s">
        <v>399</v>
      </c>
      <c r="V141" s="7" t="s">
        <v>399</v>
      </c>
      <c r="W141" s="7" t="s">
        <v>677</v>
      </c>
      <c r="X141" s="28">
        <v>0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6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0</v>
      </c>
      <c r="AT141" s="28">
        <v>0</v>
      </c>
      <c r="AU141" s="7" t="s">
        <v>677</v>
      </c>
      <c r="AV141" s="28">
        <v>100</v>
      </c>
      <c r="AW141" s="3" t="s">
        <v>498</v>
      </c>
    </row>
    <row r="142" spans="1:49" ht="28.5" customHeight="1" x14ac:dyDescent="0.3">
      <c r="A142" s="10" t="s">
        <v>383</v>
      </c>
      <c r="B142" s="10" t="s">
        <v>818</v>
      </c>
      <c r="C142" s="10" t="s">
        <v>801</v>
      </c>
      <c r="D142" s="22">
        <v>12.71</v>
      </c>
      <c r="E142" s="1">
        <f>ROUNDDOWN(ROUNDDOWN(일위대가목록!E24,0)*AV142/100,0)</f>
        <v>26989</v>
      </c>
      <c r="F142" s="1">
        <f t="shared" si="35"/>
        <v>343030</v>
      </c>
      <c r="G142" s="1">
        <f>ROUNDDOWN(ROUNDDOWN(일위대가목록!F24,0)*AV142/100,0)</f>
        <v>57940</v>
      </c>
      <c r="H142" s="1">
        <f t="shared" si="36"/>
        <v>736417</v>
      </c>
      <c r="I142" s="1">
        <f>ROUNDDOWN(ROUNDDOWN(일위대가목록!G24,0)*AV142/100,0)</f>
        <v>0</v>
      </c>
      <c r="J142" s="1">
        <f t="shared" si="37"/>
        <v>0</v>
      </c>
      <c r="K142" s="1">
        <f t="shared" si="38"/>
        <v>84929</v>
      </c>
      <c r="L142" s="1">
        <f t="shared" si="39"/>
        <v>1079447</v>
      </c>
      <c r="M142" s="10" t="s">
        <v>677</v>
      </c>
      <c r="N142" s="2" t="str">
        <f>HYPERLINK("#일위대가목록!A24", "AFA12900010S")</f>
        <v>AFA12900010S</v>
      </c>
      <c r="O142" s="7" t="s">
        <v>677</v>
      </c>
      <c r="P142" s="7" t="s">
        <v>677</v>
      </c>
      <c r="Q142" s="7" t="s">
        <v>247</v>
      </c>
      <c r="R142" s="28">
        <v>600000</v>
      </c>
      <c r="S142" s="28">
        <v>110</v>
      </c>
      <c r="T142" s="7" t="s">
        <v>731</v>
      </c>
      <c r="U142" s="7" t="s">
        <v>399</v>
      </c>
      <c r="V142" s="7" t="s">
        <v>399</v>
      </c>
      <c r="W142" s="7" t="s">
        <v>677</v>
      </c>
      <c r="X142" s="28">
        <v>0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6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7" t="s">
        <v>677</v>
      </c>
      <c r="AV142" s="28">
        <v>100</v>
      </c>
      <c r="AW142" s="3" t="s">
        <v>771</v>
      </c>
    </row>
    <row r="143" spans="1:49" ht="28.5" customHeight="1" x14ac:dyDescent="0.3">
      <c r="A143" s="10" t="s">
        <v>1207</v>
      </c>
      <c r="B143" s="10" t="s">
        <v>513</v>
      </c>
      <c r="C143" s="10" t="s">
        <v>1167</v>
      </c>
      <c r="D143" s="22">
        <v>14</v>
      </c>
      <c r="E143" s="1">
        <f>ROUNDDOWN(ROUNDDOWN(일위대가목록!E25,0)*AV143/100,0)</f>
        <v>4339</v>
      </c>
      <c r="F143" s="1">
        <f t="shared" si="35"/>
        <v>60746</v>
      </c>
      <c r="G143" s="1">
        <f>ROUNDDOWN(ROUNDDOWN(일위대가목록!F25,0)*AV143/100,0)</f>
        <v>42932</v>
      </c>
      <c r="H143" s="1">
        <f t="shared" si="36"/>
        <v>601048</v>
      </c>
      <c r="I143" s="1">
        <f>ROUNDDOWN(ROUNDDOWN(일위대가목록!G25,0)*AV143/100,0)</f>
        <v>3838</v>
      </c>
      <c r="J143" s="1">
        <f t="shared" si="37"/>
        <v>53732</v>
      </c>
      <c r="K143" s="1">
        <f t="shared" si="38"/>
        <v>51109</v>
      </c>
      <c r="L143" s="1">
        <f t="shared" si="39"/>
        <v>715526</v>
      </c>
      <c r="M143" s="10"/>
      <c r="N143" s="2" t="str">
        <f>HYPERLINK("#일위대가목록!A25", "AAC21102010S")</f>
        <v>AAC21102010S</v>
      </c>
      <c r="O143" s="7" t="s">
        <v>677</v>
      </c>
      <c r="P143" s="7" t="s">
        <v>677</v>
      </c>
      <c r="Q143" s="7" t="s">
        <v>247</v>
      </c>
      <c r="R143" s="28">
        <v>600000</v>
      </c>
      <c r="S143" s="28">
        <v>120</v>
      </c>
      <c r="T143" s="7" t="s">
        <v>731</v>
      </c>
      <c r="U143" s="7" t="s">
        <v>399</v>
      </c>
      <c r="V143" s="7" t="s">
        <v>399</v>
      </c>
      <c r="W143" s="7" t="s">
        <v>677</v>
      </c>
      <c r="X143" s="28">
        <v>0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6</v>
      </c>
      <c r="AJ143" s="28">
        <v>0</v>
      </c>
      <c r="AK143" s="28">
        <v>0</v>
      </c>
      <c r="AL143" s="28">
        <v>0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28">
        <v>0</v>
      </c>
      <c r="AT143" s="28">
        <v>0</v>
      </c>
      <c r="AU143" s="7" t="s">
        <v>677</v>
      </c>
      <c r="AV143" s="28">
        <v>100</v>
      </c>
      <c r="AW143" s="3" t="s">
        <v>494</v>
      </c>
    </row>
    <row r="144" spans="1:49" ht="28.5" customHeight="1" x14ac:dyDescent="0.3">
      <c r="A144" s="10" t="s">
        <v>1251</v>
      </c>
      <c r="B144" s="10" t="s">
        <v>1253</v>
      </c>
      <c r="C144" s="10" t="s">
        <v>961</v>
      </c>
      <c r="D144" s="22">
        <v>14.64</v>
      </c>
      <c r="E144" s="1">
        <f>일위대가!F347</f>
        <v>79</v>
      </c>
      <c r="F144" s="1">
        <f t="shared" si="35"/>
        <v>1156</v>
      </c>
      <c r="G144" s="1">
        <f>ROUNDDOWN(ROUNDDOWN([2]일위대가목록!F23,0)*AV144/100,0)</f>
        <v>23108</v>
      </c>
      <c r="H144" s="1">
        <f t="shared" si="36"/>
        <v>338301</v>
      </c>
      <c r="I144" s="1">
        <f>ROUNDDOWN(ROUNDDOWN([2]일위대가목록!G23,0)*AV144/100,0)</f>
        <v>0</v>
      </c>
      <c r="J144" s="1">
        <f t="shared" si="37"/>
        <v>0</v>
      </c>
      <c r="K144" s="1">
        <f t="shared" si="38"/>
        <v>23187</v>
      </c>
      <c r="L144" s="1">
        <f t="shared" si="39"/>
        <v>339457</v>
      </c>
      <c r="M144" s="10" t="s">
        <v>677</v>
      </c>
      <c r="N144" s="51" t="str">
        <f>HYPERLINK("#일위대가목록!A27", "AJM101100000")</f>
        <v>AJM101100000</v>
      </c>
      <c r="O144" s="7" t="s">
        <v>677</v>
      </c>
      <c r="P144" s="7" t="s">
        <v>677</v>
      </c>
      <c r="Q144" s="7" t="s">
        <v>247</v>
      </c>
      <c r="R144" s="28">
        <v>600000</v>
      </c>
      <c r="S144" s="28">
        <v>140</v>
      </c>
      <c r="T144" s="7" t="s">
        <v>731</v>
      </c>
      <c r="U144" s="7" t="s">
        <v>399</v>
      </c>
      <c r="V144" s="7" t="s">
        <v>399</v>
      </c>
      <c r="W144" s="7" t="s">
        <v>677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6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7" t="s">
        <v>677</v>
      </c>
      <c r="AV144" s="28">
        <v>100</v>
      </c>
      <c r="AW144" s="3" t="s">
        <v>1303</v>
      </c>
    </row>
    <row r="145" spans="1:49" ht="28.5" customHeight="1" x14ac:dyDescent="0.3">
      <c r="A145" s="10" t="s">
        <v>1252</v>
      </c>
      <c r="B145" s="10" t="s">
        <v>1253</v>
      </c>
      <c r="C145" s="10" t="s">
        <v>961</v>
      </c>
      <c r="D145" s="22">
        <v>14.64</v>
      </c>
      <c r="E145" s="1">
        <f>ROUNDDOWN(ROUNDDOWN(일위대가목록!E24,0)*AV145/100,0)</f>
        <v>26989</v>
      </c>
      <c r="F145" s="1">
        <f t="shared" si="35"/>
        <v>395118</v>
      </c>
      <c r="G145" s="1">
        <f>ROUNDDOWN(ROUNDDOWN([2]일위대가목록!F24,0)*AV145/100,0)</f>
        <v>9549</v>
      </c>
      <c r="H145" s="1">
        <f t="shared" si="36"/>
        <v>139797</v>
      </c>
      <c r="I145" s="1">
        <f>ROUNDDOWN(ROUNDDOWN([2]일위대가목록!G24,0)*AV145/100,0)</f>
        <v>0</v>
      </c>
      <c r="J145" s="1">
        <f t="shared" si="37"/>
        <v>0</v>
      </c>
      <c r="K145" s="1">
        <f t="shared" si="38"/>
        <v>36538</v>
      </c>
      <c r="L145" s="1">
        <f t="shared" si="39"/>
        <v>534915</v>
      </c>
      <c r="M145" s="10" t="s">
        <v>677</v>
      </c>
      <c r="N145" s="51" t="str">
        <f>HYPERLINK("#일위대가목록!A28", "AJM101101000")</f>
        <v>AJM101101000</v>
      </c>
      <c r="O145" s="7" t="s">
        <v>677</v>
      </c>
      <c r="P145" s="7" t="s">
        <v>677</v>
      </c>
      <c r="Q145" s="7" t="s">
        <v>247</v>
      </c>
      <c r="R145" s="28">
        <v>600000</v>
      </c>
      <c r="S145" s="28">
        <v>150</v>
      </c>
      <c r="T145" s="7" t="s">
        <v>731</v>
      </c>
      <c r="U145" s="7" t="s">
        <v>399</v>
      </c>
      <c r="V145" s="7" t="s">
        <v>399</v>
      </c>
      <c r="W145" s="7" t="s">
        <v>677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6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7" t="s">
        <v>677</v>
      </c>
      <c r="AV145" s="28">
        <v>100</v>
      </c>
      <c r="AW145" s="3" t="s">
        <v>1293</v>
      </c>
    </row>
    <row r="146" spans="1:49" ht="28.5" customHeight="1" x14ac:dyDescent="0.3">
      <c r="A146" s="10" t="s">
        <v>1268</v>
      </c>
      <c r="B146" s="10" t="s">
        <v>1269</v>
      </c>
      <c r="C146" s="10" t="s">
        <v>961</v>
      </c>
      <c r="D146" s="22">
        <v>14.64</v>
      </c>
      <c r="E146" s="1">
        <f>단가대비표!U93</f>
        <v>1141</v>
      </c>
      <c r="F146" s="1">
        <f t="shared" si="35"/>
        <v>16704</v>
      </c>
      <c r="G146" s="1">
        <f>단가대비표!V93</f>
        <v>0</v>
      </c>
      <c r="H146" s="1">
        <f t="shared" si="36"/>
        <v>0</v>
      </c>
      <c r="I146" s="1">
        <f>단가대비표!AB93</f>
        <v>0</v>
      </c>
      <c r="J146" s="1">
        <f t="shared" si="37"/>
        <v>0</v>
      </c>
      <c r="K146" s="1">
        <f t="shared" si="38"/>
        <v>1141</v>
      </c>
      <c r="L146" s="1">
        <f t="shared" si="39"/>
        <v>16704</v>
      </c>
      <c r="M146" s="10" t="s">
        <v>677</v>
      </c>
      <c r="N146" s="51" t="str">
        <f>HYPERLINK("#단가대비표!B30", "3116180730000078")</f>
        <v>3116180730000078</v>
      </c>
      <c r="O146" s="7" t="s">
        <v>677</v>
      </c>
      <c r="P146" s="7" t="s">
        <v>677</v>
      </c>
      <c r="Q146" s="7" t="s">
        <v>247</v>
      </c>
      <c r="R146" s="28">
        <v>600000</v>
      </c>
      <c r="S146" s="28">
        <v>160</v>
      </c>
      <c r="T146" s="7" t="s">
        <v>399</v>
      </c>
      <c r="U146" s="7" t="s">
        <v>399</v>
      </c>
      <c r="V146" s="7" t="s">
        <v>731</v>
      </c>
      <c r="W146" s="7" t="s">
        <v>677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6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7" t="s">
        <v>677</v>
      </c>
      <c r="AV146" s="28">
        <v>100</v>
      </c>
      <c r="AW146" s="3" t="s">
        <v>1272</v>
      </c>
    </row>
    <row r="147" spans="1:49" ht="28.5" customHeight="1" x14ac:dyDescent="0.3">
      <c r="A147" s="10" t="s">
        <v>677</v>
      </c>
      <c r="B147" s="10" t="s">
        <v>677</v>
      </c>
      <c r="C147" s="10" t="s">
        <v>677</v>
      </c>
      <c r="D147" s="1">
        <v>0</v>
      </c>
      <c r="E147" s="1">
        <v>0</v>
      </c>
      <c r="F147" s="1">
        <f t="shared" si="35"/>
        <v>0</v>
      </c>
      <c r="G147" s="1">
        <v>0</v>
      </c>
      <c r="H147" s="1">
        <f t="shared" si="36"/>
        <v>0</v>
      </c>
      <c r="I147" s="1">
        <v>0</v>
      </c>
      <c r="J147" s="1">
        <f t="shared" si="37"/>
        <v>0</v>
      </c>
      <c r="K147" s="1">
        <f t="shared" si="38"/>
        <v>0</v>
      </c>
      <c r="L147" s="1">
        <f t="shared" si="39"/>
        <v>0</v>
      </c>
      <c r="M147" s="10" t="s">
        <v>677</v>
      </c>
      <c r="N147" s="10" t="s">
        <v>677</v>
      </c>
      <c r="O147" s="10" t="s">
        <v>677</v>
      </c>
      <c r="P147" s="10" t="s">
        <v>677</v>
      </c>
      <c r="AU147" s="7"/>
      <c r="AV147" s="28">
        <v>0</v>
      </c>
      <c r="AW147" s="3" t="s">
        <v>677</v>
      </c>
    </row>
    <row r="148" spans="1:49" ht="28.5" customHeight="1" x14ac:dyDescent="0.3">
      <c r="A148" s="10" t="s">
        <v>677</v>
      </c>
      <c r="B148" s="10" t="s">
        <v>677</v>
      </c>
      <c r="C148" s="10" t="s">
        <v>677</v>
      </c>
      <c r="D148" s="1">
        <v>0</v>
      </c>
      <c r="E148" s="1">
        <v>0</v>
      </c>
      <c r="F148" s="1">
        <f t="shared" si="35"/>
        <v>0</v>
      </c>
      <c r="G148" s="1">
        <v>0</v>
      </c>
      <c r="H148" s="1">
        <f t="shared" si="36"/>
        <v>0</v>
      </c>
      <c r="I148" s="1">
        <v>0</v>
      </c>
      <c r="J148" s="1">
        <f t="shared" si="37"/>
        <v>0</v>
      </c>
      <c r="K148" s="1">
        <f t="shared" si="38"/>
        <v>0</v>
      </c>
      <c r="L148" s="1">
        <f t="shared" si="39"/>
        <v>0</v>
      </c>
      <c r="M148" s="10" t="s">
        <v>677</v>
      </c>
      <c r="N148" s="10" t="s">
        <v>677</v>
      </c>
      <c r="O148" s="10" t="s">
        <v>677</v>
      </c>
      <c r="P148" s="10" t="s">
        <v>677</v>
      </c>
      <c r="AU148" s="7"/>
      <c r="AV148" s="28">
        <v>0</v>
      </c>
      <c r="AW148" s="3" t="s">
        <v>677</v>
      </c>
    </row>
    <row r="149" spans="1:49" ht="28.5" customHeight="1" x14ac:dyDescent="0.3">
      <c r="A149" s="10" t="s">
        <v>677</v>
      </c>
      <c r="B149" s="10" t="s">
        <v>677</v>
      </c>
      <c r="C149" s="10" t="s">
        <v>677</v>
      </c>
      <c r="D149" s="1">
        <v>0</v>
      </c>
      <c r="E149" s="1">
        <v>0</v>
      </c>
      <c r="F149" s="1">
        <f t="shared" si="35"/>
        <v>0</v>
      </c>
      <c r="G149" s="1">
        <v>0</v>
      </c>
      <c r="H149" s="1">
        <f t="shared" si="36"/>
        <v>0</v>
      </c>
      <c r="I149" s="1">
        <v>0</v>
      </c>
      <c r="J149" s="1">
        <f t="shared" si="37"/>
        <v>0</v>
      </c>
      <c r="K149" s="1">
        <f t="shared" si="38"/>
        <v>0</v>
      </c>
      <c r="L149" s="1">
        <f t="shared" si="39"/>
        <v>0</v>
      </c>
      <c r="M149" s="10" t="s">
        <v>677</v>
      </c>
      <c r="N149" s="10" t="s">
        <v>677</v>
      </c>
      <c r="O149" s="10" t="s">
        <v>677</v>
      </c>
      <c r="P149" s="10" t="s">
        <v>677</v>
      </c>
      <c r="AU149" s="7"/>
      <c r="AV149" s="28">
        <v>0</v>
      </c>
      <c r="AW149" s="3" t="s">
        <v>677</v>
      </c>
    </row>
    <row r="150" spans="1:49" ht="28.5" customHeight="1" x14ac:dyDescent="0.3">
      <c r="A150" s="10" t="s">
        <v>677</v>
      </c>
      <c r="B150" s="10" t="s">
        <v>677</v>
      </c>
      <c r="C150" s="10" t="s">
        <v>677</v>
      </c>
      <c r="D150" s="1">
        <v>0</v>
      </c>
      <c r="E150" s="1">
        <v>0</v>
      </c>
      <c r="F150" s="1">
        <f t="shared" si="35"/>
        <v>0</v>
      </c>
      <c r="G150" s="1">
        <v>0</v>
      </c>
      <c r="H150" s="1">
        <f t="shared" si="36"/>
        <v>0</v>
      </c>
      <c r="I150" s="1">
        <v>0</v>
      </c>
      <c r="J150" s="1">
        <f t="shared" si="37"/>
        <v>0</v>
      </c>
      <c r="K150" s="1">
        <f t="shared" si="38"/>
        <v>0</v>
      </c>
      <c r="L150" s="1">
        <f t="shared" si="39"/>
        <v>0</v>
      </c>
      <c r="M150" s="10" t="s">
        <v>677</v>
      </c>
      <c r="N150" s="10" t="s">
        <v>677</v>
      </c>
      <c r="O150" s="10" t="s">
        <v>677</v>
      </c>
      <c r="P150" s="10" t="s">
        <v>677</v>
      </c>
      <c r="AU150" s="7"/>
      <c r="AV150" s="28">
        <v>0</v>
      </c>
      <c r="AW150" s="3" t="s">
        <v>677</v>
      </c>
    </row>
    <row r="151" spans="1:49" ht="28.5" customHeight="1" x14ac:dyDescent="0.3">
      <c r="A151" s="10" t="s">
        <v>677</v>
      </c>
      <c r="B151" s="10" t="s">
        <v>677</v>
      </c>
      <c r="C151" s="10" t="s">
        <v>677</v>
      </c>
      <c r="D151" s="1">
        <v>0</v>
      </c>
      <c r="E151" s="1">
        <v>0</v>
      </c>
      <c r="F151" s="1">
        <f t="shared" si="35"/>
        <v>0</v>
      </c>
      <c r="G151" s="1">
        <v>0</v>
      </c>
      <c r="H151" s="1">
        <f t="shared" si="36"/>
        <v>0</v>
      </c>
      <c r="I151" s="1">
        <v>0</v>
      </c>
      <c r="J151" s="1">
        <f t="shared" si="37"/>
        <v>0</v>
      </c>
      <c r="K151" s="1">
        <f t="shared" si="38"/>
        <v>0</v>
      </c>
      <c r="L151" s="1">
        <f t="shared" si="39"/>
        <v>0</v>
      </c>
      <c r="M151" s="10" t="s">
        <v>677</v>
      </c>
      <c r="N151" s="10" t="s">
        <v>677</v>
      </c>
      <c r="O151" s="10" t="s">
        <v>677</v>
      </c>
      <c r="P151" s="10" t="s">
        <v>677</v>
      </c>
      <c r="AU151" s="7"/>
      <c r="AV151" s="28">
        <v>0</v>
      </c>
      <c r="AW151" s="3" t="s">
        <v>677</v>
      </c>
    </row>
    <row r="152" spans="1:49" ht="28.5" customHeight="1" x14ac:dyDescent="0.3">
      <c r="A152" s="10" t="s">
        <v>677</v>
      </c>
      <c r="B152" s="10" t="s">
        <v>677</v>
      </c>
      <c r="C152" s="10" t="s">
        <v>677</v>
      </c>
      <c r="D152" s="1">
        <v>0</v>
      </c>
      <c r="E152" s="1">
        <v>0</v>
      </c>
      <c r="F152" s="1">
        <f t="shared" si="35"/>
        <v>0</v>
      </c>
      <c r="G152" s="1">
        <v>0</v>
      </c>
      <c r="H152" s="1">
        <f t="shared" si="36"/>
        <v>0</v>
      </c>
      <c r="I152" s="1">
        <v>0</v>
      </c>
      <c r="J152" s="1">
        <f t="shared" si="37"/>
        <v>0</v>
      </c>
      <c r="K152" s="1">
        <f t="shared" si="38"/>
        <v>0</v>
      </c>
      <c r="L152" s="1">
        <f t="shared" si="39"/>
        <v>0</v>
      </c>
      <c r="M152" s="10" t="s">
        <v>677</v>
      </c>
      <c r="N152" s="10" t="s">
        <v>677</v>
      </c>
      <c r="O152" s="10" t="s">
        <v>677</v>
      </c>
      <c r="P152" s="10" t="s">
        <v>677</v>
      </c>
      <c r="AU152" s="7"/>
      <c r="AV152" s="28">
        <v>0</v>
      </c>
      <c r="AW152" s="3" t="s">
        <v>677</v>
      </c>
    </row>
    <row r="153" spans="1:49" ht="28.5" customHeight="1" x14ac:dyDescent="0.3">
      <c r="A153" s="10" t="s">
        <v>677</v>
      </c>
      <c r="B153" s="10" t="s">
        <v>677</v>
      </c>
      <c r="C153" s="10" t="s">
        <v>677</v>
      </c>
      <c r="D153" s="1">
        <v>0</v>
      </c>
      <c r="E153" s="1">
        <v>0</v>
      </c>
      <c r="F153" s="1">
        <f t="shared" si="35"/>
        <v>0</v>
      </c>
      <c r="G153" s="1">
        <v>0</v>
      </c>
      <c r="H153" s="1">
        <f t="shared" si="36"/>
        <v>0</v>
      </c>
      <c r="I153" s="1">
        <v>0</v>
      </c>
      <c r="J153" s="1">
        <f t="shared" si="37"/>
        <v>0</v>
      </c>
      <c r="K153" s="1">
        <f t="shared" si="38"/>
        <v>0</v>
      </c>
      <c r="L153" s="1">
        <f t="shared" si="39"/>
        <v>0</v>
      </c>
      <c r="M153" s="10" t="s">
        <v>677</v>
      </c>
      <c r="N153" s="10" t="s">
        <v>677</v>
      </c>
      <c r="O153" s="10" t="s">
        <v>677</v>
      </c>
      <c r="P153" s="10" t="s">
        <v>677</v>
      </c>
      <c r="AU153" s="7"/>
      <c r="AV153" s="28">
        <v>0</v>
      </c>
      <c r="AW153" s="3" t="s">
        <v>677</v>
      </c>
    </row>
    <row r="154" spans="1:49" ht="28.5" customHeight="1" x14ac:dyDescent="0.3">
      <c r="A154" s="10" t="s">
        <v>677</v>
      </c>
      <c r="B154" s="10" t="s">
        <v>677</v>
      </c>
      <c r="C154" s="10" t="s">
        <v>677</v>
      </c>
      <c r="D154" s="1">
        <v>0</v>
      </c>
      <c r="E154" s="1">
        <v>0</v>
      </c>
      <c r="F154" s="1">
        <f t="shared" si="35"/>
        <v>0</v>
      </c>
      <c r="G154" s="1">
        <v>0</v>
      </c>
      <c r="H154" s="1">
        <f t="shared" si="36"/>
        <v>0</v>
      </c>
      <c r="I154" s="1">
        <v>0</v>
      </c>
      <c r="J154" s="1">
        <f t="shared" si="37"/>
        <v>0</v>
      </c>
      <c r="K154" s="1">
        <f t="shared" si="38"/>
        <v>0</v>
      </c>
      <c r="L154" s="1">
        <f t="shared" si="39"/>
        <v>0</v>
      </c>
      <c r="M154" s="10" t="s">
        <v>677</v>
      </c>
      <c r="N154" s="10" t="s">
        <v>677</v>
      </c>
      <c r="O154" s="10" t="s">
        <v>677</v>
      </c>
      <c r="P154" s="10" t="s">
        <v>677</v>
      </c>
      <c r="AU154" s="7"/>
      <c r="AV154" s="28">
        <v>0</v>
      </c>
      <c r="AW154" s="3" t="s">
        <v>677</v>
      </c>
    </row>
    <row r="155" spans="1:49" ht="28.5" customHeight="1" x14ac:dyDescent="0.3">
      <c r="A155" s="10" t="s">
        <v>677</v>
      </c>
      <c r="B155" s="10" t="s">
        <v>677</v>
      </c>
      <c r="C155" s="10" t="s">
        <v>677</v>
      </c>
      <c r="D155" s="1">
        <v>0</v>
      </c>
      <c r="E155" s="1">
        <v>0</v>
      </c>
      <c r="F155" s="1">
        <f t="shared" si="35"/>
        <v>0</v>
      </c>
      <c r="G155" s="1">
        <v>0</v>
      </c>
      <c r="H155" s="1">
        <f t="shared" si="36"/>
        <v>0</v>
      </c>
      <c r="I155" s="1">
        <v>0</v>
      </c>
      <c r="J155" s="1">
        <f t="shared" si="37"/>
        <v>0</v>
      </c>
      <c r="K155" s="1">
        <f t="shared" si="38"/>
        <v>0</v>
      </c>
      <c r="L155" s="1">
        <f t="shared" si="39"/>
        <v>0</v>
      </c>
      <c r="M155" s="10" t="s">
        <v>677</v>
      </c>
      <c r="N155" s="10" t="s">
        <v>677</v>
      </c>
      <c r="O155" s="10" t="s">
        <v>677</v>
      </c>
      <c r="P155" s="10" t="s">
        <v>677</v>
      </c>
      <c r="AU155" s="7"/>
      <c r="AV155" s="28">
        <v>0</v>
      </c>
      <c r="AW155" s="3" t="s">
        <v>677</v>
      </c>
    </row>
    <row r="156" spans="1:49" ht="28.5" customHeight="1" x14ac:dyDescent="0.3">
      <c r="A156" s="10" t="s">
        <v>109</v>
      </c>
      <c r="B156" s="10" t="s">
        <v>677</v>
      </c>
      <c r="C156" s="10" t="s">
        <v>677</v>
      </c>
      <c r="D156" s="10" t="s">
        <v>677</v>
      </c>
      <c r="E156" s="27">
        <v>0</v>
      </c>
      <c r="F156" s="1">
        <f>TRUNC(SUMIF(Q132:Q155, Q131,F132:F155),0)</f>
        <v>2090136</v>
      </c>
      <c r="G156" s="1">
        <v>0</v>
      </c>
      <c r="H156" s="1">
        <f>TRUNC(SUMIF(Q132:Q155, Q131,H132:H155),0)</f>
        <v>2927351</v>
      </c>
      <c r="I156" s="1">
        <v>0</v>
      </c>
      <c r="J156" s="1">
        <f>TRUNC(SUMIF(Q132:Q155, Q131,J132:J155),0)</f>
        <v>93901</v>
      </c>
      <c r="K156" s="12" t="s">
        <v>677</v>
      </c>
      <c r="L156" s="1">
        <f>F156+H156+J156</f>
        <v>5111388</v>
      </c>
      <c r="M156" s="10"/>
      <c r="AW156" s="10" t="s">
        <v>677</v>
      </c>
    </row>
    <row r="157" spans="1:49" ht="28.5" customHeight="1" x14ac:dyDescent="0.3">
      <c r="A157" s="10" t="s">
        <v>381</v>
      </c>
      <c r="B157" s="10"/>
      <c r="C157" s="10"/>
      <c r="D157" s="10" t="s">
        <v>677</v>
      </c>
      <c r="E157" s="10" t="s">
        <v>677</v>
      </c>
      <c r="F157" s="10" t="s">
        <v>677</v>
      </c>
      <c r="G157" s="10" t="s">
        <v>677</v>
      </c>
      <c r="H157" s="10" t="s">
        <v>677</v>
      </c>
      <c r="I157" s="10" t="s">
        <v>677</v>
      </c>
      <c r="J157" s="10" t="s">
        <v>677</v>
      </c>
      <c r="K157" s="10" t="s">
        <v>677</v>
      </c>
      <c r="L157" s="10" t="s">
        <v>677</v>
      </c>
      <c r="M157" s="10" t="s">
        <v>677</v>
      </c>
      <c r="N157" s="5" t="s">
        <v>677</v>
      </c>
      <c r="Q157" s="7" t="s">
        <v>683</v>
      </c>
      <c r="R157" s="28">
        <v>700000</v>
      </c>
      <c r="S157" s="28">
        <v>0</v>
      </c>
      <c r="AH157" s="7"/>
      <c r="AW157" s="10" t="s">
        <v>677</v>
      </c>
    </row>
    <row r="158" spans="1:49" ht="28.5" customHeight="1" x14ac:dyDescent="0.3">
      <c r="A158" s="10" t="s">
        <v>416</v>
      </c>
      <c r="B158" s="10" t="s">
        <v>1294</v>
      </c>
      <c r="C158" s="10" t="s">
        <v>427</v>
      </c>
      <c r="D158" s="22">
        <v>284</v>
      </c>
      <c r="E158" s="1">
        <f>ROUNDDOWN(ROUNDDOWN(일위대가목록!E26,0)*AV158/100,0)</f>
        <v>2049</v>
      </c>
      <c r="F158" s="1">
        <f t="shared" ref="F158:F181" si="40">ROUNDDOWN(D158*E158,0)</f>
        <v>581916</v>
      </c>
      <c r="G158" s="1">
        <f>ROUNDDOWN(ROUNDDOWN(일위대가목록!F26,0)*AV158/100,0)</f>
        <v>412</v>
      </c>
      <c r="H158" s="1">
        <f t="shared" ref="H158:H181" si="41">ROUNDDOWN(D158*G158,0)</f>
        <v>117008</v>
      </c>
      <c r="I158" s="1">
        <f>ROUNDDOWN(ROUNDDOWN(일위대가목록!G26,0)*AV158/100,0)</f>
        <v>0</v>
      </c>
      <c r="J158" s="1">
        <f t="shared" ref="J158:J181" si="42">ROUNDDOWN(D158*I158,0)</f>
        <v>0</v>
      </c>
      <c r="K158" s="1">
        <f t="shared" ref="K158:K181" si="43">ROUNDDOWN(E158+G158+I158,0)</f>
        <v>2461</v>
      </c>
      <c r="L158" s="1">
        <f t="shared" ref="L158:L181" si="44">ROUNDDOWN(F158+H158+J158,0)</f>
        <v>698924</v>
      </c>
      <c r="M158" s="10" t="s">
        <v>677</v>
      </c>
      <c r="N158" s="2" t="str">
        <f>HYPERLINK("#일위대가목록!A26", "CDK752201000")</f>
        <v>CDK752201000</v>
      </c>
      <c r="O158" s="7" t="s">
        <v>677</v>
      </c>
      <c r="P158" s="7" t="s">
        <v>677</v>
      </c>
      <c r="Q158" s="7" t="s">
        <v>683</v>
      </c>
      <c r="R158" s="28">
        <v>700000</v>
      </c>
      <c r="S158" s="28">
        <v>10</v>
      </c>
      <c r="T158" s="7" t="s">
        <v>731</v>
      </c>
      <c r="U158" s="7" t="s">
        <v>399</v>
      </c>
      <c r="V158" s="7" t="s">
        <v>399</v>
      </c>
      <c r="W158" s="7" t="s">
        <v>677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8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7" t="s">
        <v>677</v>
      </c>
      <c r="AV158" s="28">
        <v>100</v>
      </c>
      <c r="AW158" s="3" t="s">
        <v>51</v>
      </c>
    </row>
    <row r="159" spans="1:49" ht="28.5" customHeight="1" x14ac:dyDescent="0.3">
      <c r="A159" s="10" t="s">
        <v>677</v>
      </c>
      <c r="B159" s="10" t="s">
        <v>677</v>
      </c>
      <c r="C159" s="10" t="s">
        <v>677</v>
      </c>
      <c r="D159" s="1">
        <v>0</v>
      </c>
      <c r="E159" s="1">
        <v>0</v>
      </c>
      <c r="F159" s="1">
        <f t="shared" si="40"/>
        <v>0</v>
      </c>
      <c r="G159" s="1">
        <v>0</v>
      </c>
      <c r="H159" s="1">
        <f t="shared" si="41"/>
        <v>0</v>
      </c>
      <c r="I159" s="1">
        <v>0</v>
      </c>
      <c r="J159" s="1">
        <f t="shared" si="42"/>
        <v>0</v>
      </c>
      <c r="K159" s="1">
        <f t="shared" si="43"/>
        <v>0</v>
      </c>
      <c r="L159" s="1">
        <f t="shared" si="44"/>
        <v>0</v>
      </c>
      <c r="M159" s="10" t="s">
        <v>677</v>
      </c>
      <c r="N159" s="10" t="s">
        <v>677</v>
      </c>
      <c r="O159" s="10" t="s">
        <v>677</v>
      </c>
      <c r="P159" s="10" t="s">
        <v>677</v>
      </c>
      <c r="AU159" s="7"/>
      <c r="AV159" s="28">
        <v>0</v>
      </c>
      <c r="AW159" s="3" t="s">
        <v>677</v>
      </c>
    </row>
    <row r="160" spans="1:49" ht="28.5" customHeight="1" x14ac:dyDescent="0.3">
      <c r="A160" s="10" t="s">
        <v>677</v>
      </c>
      <c r="B160" s="10" t="s">
        <v>677</v>
      </c>
      <c r="C160" s="10" t="s">
        <v>677</v>
      </c>
      <c r="D160" s="1">
        <v>0</v>
      </c>
      <c r="E160" s="1">
        <v>0</v>
      </c>
      <c r="F160" s="1">
        <f t="shared" si="40"/>
        <v>0</v>
      </c>
      <c r="G160" s="1">
        <v>0</v>
      </c>
      <c r="H160" s="1">
        <f t="shared" si="41"/>
        <v>0</v>
      </c>
      <c r="I160" s="1">
        <v>0</v>
      </c>
      <c r="J160" s="1">
        <f t="shared" si="42"/>
        <v>0</v>
      </c>
      <c r="K160" s="1">
        <f t="shared" si="43"/>
        <v>0</v>
      </c>
      <c r="L160" s="1">
        <f t="shared" si="44"/>
        <v>0</v>
      </c>
      <c r="M160" s="10" t="s">
        <v>677</v>
      </c>
      <c r="N160" s="10" t="s">
        <v>677</v>
      </c>
      <c r="O160" s="10" t="s">
        <v>677</v>
      </c>
      <c r="P160" s="10" t="s">
        <v>677</v>
      </c>
      <c r="AU160" s="7"/>
      <c r="AV160" s="28">
        <v>0</v>
      </c>
      <c r="AW160" s="3" t="s">
        <v>677</v>
      </c>
    </row>
    <row r="161" spans="1:49" ht="28.5" customHeight="1" x14ac:dyDescent="0.3">
      <c r="A161" s="10" t="s">
        <v>677</v>
      </c>
      <c r="B161" s="10" t="s">
        <v>677</v>
      </c>
      <c r="C161" s="10" t="s">
        <v>677</v>
      </c>
      <c r="D161" s="1">
        <v>0</v>
      </c>
      <c r="E161" s="1">
        <v>0</v>
      </c>
      <c r="F161" s="1">
        <f t="shared" si="40"/>
        <v>0</v>
      </c>
      <c r="G161" s="1">
        <v>0</v>
      </c>
      <c r="H161" s="1">
        <f t="shared" si="41"/>
        <v>0</v>
      </c>
      <c r="I161" s="1">
        <v>0</v>
      </c>
      <c r="J161" s="1">
        <f t="shared" si="42"/>
        <v>0</v>
      </c>
      <c r="K161" s="1">
        <f t="shared" si="43"/>
        <v>0</v>
      </c>
      <c r="L161" s="1">
        <f t="shared" si="44"/>
        <v>0</v>
      </c>
      <c r="M161" s="10" t="s">
        <v>677</v>
      </c>
      <c r="N161" s="10" t="s">
        <v>677</v>
      </c>
      <c r="O161" s="10" t="s">
        <v>677</v>
      </c>
      <c r="P161" s="10" t="s">
        <v>677</v>
      </c>
      <c r="AU161" s="7"/>
      <c r="AV161" s="28">
        <v>0</v>
      </c>
      <c r="AW161" s="3" t="s">
        <v>677</v>
      </c>
    </row>
    <row r="162" spans="1:49" ht="28.5" customHeight="1" x14ac:dyDescent="0.3">
      <c r="A162" s="10" t="s">
        <v>677</v>
      </c>
      <c r="B162" s="10" t="s">
        <v>677</v>
      </c>
      <c r="C162" s="10" t="s">
        <v>677</v>
      </c>
      <c r="D162" s="1">
        <v>0</v>
      </c>
      <c r="E162" s="1">
        <v>0</v>
      </c>
      <c r="F162" s="1">
        <f t="shared" si="40"/>
        <v>0</v>
      </c>
      <c r="G162" s="1">
        <v>0</v>
      </c>
      <c r="H162" s="1">
        <f t="shared" si="41"/>
        <v>0</v>
      </c>
      <c r="I162" s="1">
        <v>0</v>
      </c>
      <c r="J162" s="1">
        <f t="shared" si="42"/>
        <v>0</v>
      </c>
      <c r="K162" s="1">
        <f t="shared" si="43"/>
        <v>0</v>
      </c>
      <c r="L162" s="1">
        <f t="shared" si="44"/>
        <v>0</v>
      </c>
      <c r="M162" s="10" t="s">
        <v>677</v>
      </c>
      <c r="N162" s="10" t="s">
        <v>677</v>
      </c>
      <c r="O162" s="10" t="s">
        <v>677</v>
      </c>
      <c r="P162" s="10" t="s">
        <v>677</v>
      </c>
      <c r="AU162" s="7"/>
      <c r="AV162" s="28">
        <v>0</v>
      </c>
      <c r="AW162" s="3" t="s">
        <v>677</v>
      </c>
    </row>
    <row r="163" spans="1:49" ht="28.5" customHeight="1" x14ac:dyDescent="0.3">
      <c r="A163" s="10" t="s">
        <v>677</v>
      </c>
      <c r="B163" s="10" t="s">
        <v>677</v>
      </c>
      <c r="C163" s="10" t="s">
        <v>677</v>
      </c>
      <c r="D163" s="1">
        <v>0</v>
      </c>
      <c r="E163" s="1">
        <v>0</v>
      </c>
      <c r="F163" s="1">
        <f t="shared" si="40"/>
        <v>0</v>
      </c>
      <c r="G163" s="1">
        <v>0</v>
      </c>
      <c r="H163" s="1">
        <f t="shared" si="41"/>
        <v>0</v>
      </c>
      <c r="I163" s="1">
        <v>0</v>
      </c>
      <c r="J163" s="1">
        <f t="shared" si="42"/>
        <v>0</v>
      </c>
      <c r="K163" s="1">
        <f t="shared" si="43"/>
        <v>0</v>
      </c>
      <c r="L163" s="1">
        <f t="shared" si="44"/>
        <v>0</v>
      </c>
      <c r="M163" s="10" t="s">
        <v>677</v>
      </c>
      <c r="N163" s="10" t="s">
        <v>677</v>
      </c>
      <c r="O163" s="10" t="s">
        <v>677</v>
      </c>
      <c r="P163" s="10" t="s">
        <v>677</v>
      </c>
      <c r="AU163" s="7"/>
      <c r="AV163" s="28">
        <v>0</v>
      </c>
      <c r="AW163" s="3" t="s">
        <v>677</v>
      </c>
    </row>
    <row r="164" spans="1:49" ht="28.5" customHeight="1" x14ac:dyDescent="0.3">
      <c r="A164" s="10" t="s">
        <v>677</v>
      </c>
      <c r="B164" s="10" t="s">
        <v>677</v>
      </c>
      <c r="C164" s="10" t="s">
        <v>677</v>
      </c>
      <c r="D164" s="1">
        <v>0</v>
      </c>
      <c r="E164" s="1">
        <v>0</v>
      </c>
      <c r="F164" s="1">
        <f t="shared" si="40"/>
        <v>0</v>
      </c>
      <c r="G164" s="1">
        <v>0</v>
      </c>
      <c r="H164" s="1">
        <f t="shared" si="41"/>
        <v>0</v>
      </c>
      <c r="I164" s="1">
        <v>0</v>
      </c>
      <c r="J164" s="1">
        <f t="shared" si="42"/>
        <v>0</v>
      </c>
      <c r="K164" s="1">
        <f t="shared" si="43"/>
        <v>0</v>
      </c>
      <c r="L164" s="1">
        <f t="shared" si="44"/>
        <v>0</v>
      </c>
      <c r="M164" s="10" t="s">
        <v>677</v>
      </c>
      <c r="N164" s="10" t="s">
        <v>677</v>
      </c>
      <c r="O164" s="10" t="s">
        <v>677</v>
      </c>
      <c r="P164" s="10" t="s">
        <v>677</v>
      </c>
      <c r="AU164" s="7"/>
      <c r="AV164" s="28">
        <v>0</v>
      </c>
      <c r="AW164" s="3" t="s">
        <v>677</v>
      </c>
    </row>
    <row r="165" spans="1:49" ht="28.5" customHeight="1" x14ac:dyDescent="0.3">
      <c r="A165" s="10" t="s">
        <v>677</v>
      </c>
      <c r="B165" s="10" t="s">
        <v>677</v>
      </c>
      <c r="C165" s="10" t="s">
        <v>677</v>
      </c>
      <c r="D165" s="1">
        <v>0</v>
      </c>
      <c r="E165" s="1">
        <v>0</v>
      </c>
      <c r="F165" s="1">
        <f t="shared" si="40"/>
        <v>0</v>
      </c>
      <c r="G165" s="1">
        <v>0</v>
      </c>
      <c r="H165" s="1">
        <f t="shared" si="41"/>
        <v>0</v>
      </c>
      <c r="I165" s="1">
        <v>0</v>
      </c>
      <c r="J165" s="1">
        <f t="shared" si="42"/>
        <v>0</v>
      </c>
      <c r="K165" s="1">
        <f t="shared" si="43"/>
        <v>0</v>
      </c>
      <c r="L165" s="1">
        <f t="shared" si="44"/>
        <v>0</v>
      </c>
      <c r="M165" s="10" t="s">
        <v>677</v>
      </c>
      <c r="N165" s="10" t="s">
        <v>677</v>
      </c>
      <c r="O165" s="10" t="s">
        <v>677</v>
      </c>
      <c r="P165" s="10" t="s">
        <v>677</v>
      </c>
      <c r="AU165" s="7"/>
      <c r="AV165" s="28">
        <v>0</v>
      </c>
      <c r="AW165" s="3" t="s">
        <v>677</v>
      </c>
    </row>
    <row r="166" spans="1:49" ht="28.5" customHeight="1" x14ac:dyDescent="0.3">
      <c r="A166" s="10" t="s">
        <v>677</v>
      </c>
      <c r="B166" s="10" t="s">
        <v>677</v>
      </c>
      <c r="C166" s="10" t="s">
        <v>677</v>
      </c>
      <c r="D166" s="1">
        <v>0</v>
      </c>
      <c r="E166" s="1">
        <v>0</v>
      </c>
      <c r="F166" s="1">
        <f t="shared" si="40"/>
        <v>0</v>
      </c>
      <c r="G166" s="1">
        <v>0</v>
      </c>
      <c r="H166" s="1">
        <f t="shared" si="41"/>
        <v>0</v>
      </c>
      <c r="I166" s="1">
        <v>0</v>
      </c>
      <c r="J166" s="1">
        <f t="shared" si="42"/>
        <v>0</v>
      </c>
      <c r="K166" s="1">
        <f t="shared" si="43"/>
        <v>0</v>
      </c>
      <c r="L166" s="1">
        <f t="shared" si="44"/>
        <v>0</v>
      </c>
      <c r="M166" s="10" t="s">
        <v>677</v>
      </c>
      <c r="N166" s="10" t="s">
        <v>677</v>
      </c>
      <c r="O166" s="10" t="s">
        <v>677</v>
      </c>
      <c r="P166" s="10" t="s">
        <v>677</v>
      </c>
      <c r="AU166" s="7"/>
      <c r="AV166" s="28">
        <v>0</v>
      </c>
      <c r="AW166" s="3" t="s">
        <v>677</v>
      </c>
    </row>
    <row r="167" spans="1:49" ht="28.5" customHeight="1" x14ac:dyDescent="0.3">
      <c r="A167" s="10" t="s">
        <v>677</v>
      </c>
      <c r="B167" s="10" t="s">
        <v>677</v>
      </c>
      <c r="C167" s="10" t="s">
        <v>677</v>
      </c>
      <c r="D167" s="1">
        <v>0</v>
      </c>
      <c r="E167" s="1">
        <v>0</v>
      </c>
      <c r="F167" s="1">
        <f t="shared" si="40"/>
        <v>0</v>
      </c>
      <c r="G167" s="1">
        <v>0</v>
      </c>
      <c r="H167" s="1">
        <f t="shared" si="41"/>
        <v>0</v>
      </c>
      <c r="I167" s="1">
        <v>0</v>
      </c>
      <c r="J167" s="1">
        <f t="shared" si="42"/>
        <v>0</v>
      </c>
      <c r="K167" s="1">
        <f t="shared" si="43"/>
        <v>0</v>
      </c>
      <c r="L167" s="1">
        <f t="shared" si="44"/>
        <v>0</v>
      </c>
      <c r="M167" s="10" t="s">
        <v>677</v>
      </c>
      <c r="N167" s="10" t="s">
        <v>677</v>
      </c>
      <c r="O167" s="10" t="s">
        <v>677</v>
      </c>
      <c r="P167" s="10" t="s">
        <v>677</v>
      </c>
      <c r="AU167" s="7"/>
      <c r="AV167" s="28">
        <v>0</v>
      </c>
      <c r="AW167" s="3" t="s">
        <v>677</v>
      </c>
    </row>
    <row r="168" spans="1:49" ht="28.5" customHeight="1" x14ac:dyDescent="0.3">
      <c r="A168" s="10" t="s">
        <v>677</v>
      </c>
      <c r="B168" s="10" t="s">
        <v>677</v>
      </c>
      <c r="C168" s="10" t="s">
        <v>677</v>
      </c>
      <c r="D168" s="1">
        <v>0</v>
      </c>
      <c r="E168" s="1">
        <v>0</v>
      </c>
      <c r="F168" s="1">
        <f t="shared" si="40"/>
        <v>0</v>
      </c>
      <c r="G168" s="1">
        <v>0</v>
      </c>
      <c r="H168" s="1">
        <f t="shared" si="41"/>
        <v>0</v>
      </c>
      <c r="I168" s="1">
        <v>0</v>
      </c>
      <c r="J168" s="1">
        <f t="shared" si="42"/>
        <v>0</v>
      </c>
      <c r="K168" s="1">
        <f t="shared" si="43"/>
        <v>0</v>
      </c>
      <c r="L168" s="1">
        <f t="shared" si="44"/>
        <v>0</v>
      </c>
      <c r="M168" s="10" t="s">
        <v>677</v>
      </c>
      <c r="N168" s="10" t="s">
        <v>677</v>
      </c>
      <c r="O168" s="10" t="s">
        <v>677</v>
      </c>
      <c r="P168" s="10" t="s">
        <v>677</v>
      </c>
      <c r="AU168" s="7"/>
      <c r="AV168" s="28">
        <v>0</v>
      </c>
      <c r="AW168" s="3" t="s">
        <v>677</v>
      </c>
    </row>
    <row r="169" spans="1:49" ht="28.5" customHeight="1" x14ac:dyDescent="0.3">
      <c r="A169" s="10" t="s">
        <v>677</v>
      </c>
      <c r="B169" s="10" t="s">
        <v>677</v>
      </c>
      <c r="C169" s="10" t="s">
        <v>677</v>
      </c>
      <c r="D169" s="1">
        <v>0</v>
      </c>
      <c r="E169" s="1">
        <v>0</v>
      </c>
      <c r="F169" s="1">
        <f t="shared" si="40"/>
        <v>0</v>
      </c>
      <c r="G169" s="1">
        <v>0</v>
      </c>
      <c r="H169" s="1">
        <f t="shared" si="41"/>
        <v>0</v>
      </c>
      <c r="I169" s="1">
        <v>0</v>
      </c>
      <c r="J169" s="1">
        <f t="shared" si="42"/>
        <v>0</v>
      </c>
      <c r="K169" s="1">
        <f t="shared" si="43"/>
        <v>0</v>
      </c>
      <c r="L169" s="1">
        <f t="shared" si="44"/>
        <v>0</v>
      </c>
      <c r="M169" s="10" t="s">
        <v>677</v>
      </c>
      <c r="N169" s="10" t="s">
        <v>677</v>
      </c>
      <c r="O169" s="10" t="s">
        <v>677</v>
      </c>
      <c r="P169" s="10" t="s">
        <v>677</v>
      </c>
      <c r="AU169" s="7"/>
      <c r="AV169" s="28">
        <v>0</v>
      </c>
      <c r="AW169" s="3" t="s">
        <v>677</v>
      </c>
    </row>
    <row r="170" spans="1:49" ht="28.5" customHeight="1" x14ac:dyDescent="0.3">
      <c r="A170" s="10" t="s">
        <v>677</v>
      </c>
      <c r="B170" s="10" t="s">
        <v>677</v>
      </c>
      <c r="C170" s="10" t="s">
        <v>677</v>
      </c>
      <c r="D170" s="1">
        <v>0</v>
      </c>
      <c r="E170" s="1">
        <v>0</v>
      </c>
      <c r="F170" s="1">
        <f t="shared" si="40"/>
        <v>0</v>
      </c>
      <c r="G170" s="1">
        <v>0</v>
      </c>
      <c r="H170" s="1">
        <f t="shared" si="41"/>
        <v>0</v>
      </c>
      <c r="I170" s="1">
        <v>0</v>
      </c>
      <c r="J170" s="1">
        <f t="shared" si="42"/>
        <v>0</v>
      </c>
      <c r="K170" s="1">
        <f t="shared" si="43"/>
        <v>0</v>
      </c>
      <c r="L170" s="1">
        <f t="shared" si="44"/>
        <v>0</v>
      </c>
      <c r="M170" s="10" t="s">
        <v>677</v>
      </c>
      <c r="N170" s="10" t="s">
        <v>677</v>
      </c>
      <c r="O170" s="10" t="s">
        <v>677</v>
      </c>
      <c r="P170" s="10" t="s">
        <v>677</v>
      </c>
      <c r="AU170" s="7"/>
      <c r="AV170" s="28">
        <v>0</v>
      </c>
      <c r="AW170" s="3" t="s">
        <v>677</v>
      </c>
    </row>
    <row r="171" spans="1:49" ht="28.5" customHeight="1" x14ac:dyDescent="0.3">
      <c r="A171" s="10" t="s">
        <v>677</v>
      </c>
      <c r="B171" s="10" t="s">
        <v>677</v>
      </c>
      <c r="C171" s="10" t="s">
        <v>677</v>
      </c>
      <c r="D171" s="1">
        <v>0</v>
      </c>
      <c r="E171" s="1">
        <v>0</v>
      </c>
      <c r="F171" s="1">
        <f t="shared" si="40"/>
        <v>0</v>
      </c>
      <c r="G171" s="1">
        <v>0</v>
      </c>
      <c r="H171" s="1">
        <f t="shared" si="41"/>
        <v>0</v>
      </c>
      <c r="I171" s="1">
        <v>0</v>
      </c>
      <c r="J171" s="1">
        <f t="shared" si="42"/>
        <v>0</v>
      </c>
      <c r="K171" s="1">
        <f t="shared" si="43"/>
        <v>0</v>
      </c>
      <c r="L171" s="1">
        <f t="shared" si="44"/>
        <v>0</v>
      </c>
      <c r="M171" s="10" t="s">
        <v>677</v>
      </c>
      <c r="N171" s="10" t="s">
        <v>677</v>
      </c>
      <c r="O171" s="10" t="s">
        <v>677</v>
      </c>
      <c r="P171" s="10" t="s">
        <v>677</v>
      </c>
      <c r="AU171" s="7"/>
      <c r="AV171" s="28">
        <v>0</v>
      </c>
      <c r="AW171" s="3" t="s">
        <v>677</v>
      </c>
    </row>
    <row r="172" spans="1:49" ht="28.5" customHeight="1" x14ac:dyDescent="0.3">
      <c r="A172" s="10" t="s">
        <v>677</v>
      </c>
      <c r="B172" s="10" t="s">
        <v>677</v>
      </c>
      <c r="C172" s="10" t="s">
        <v>677</v>
      </c>
      <c r="D172" s="1">
        <v>0</v>
      </c>
      <c r="E172" s="1">
        <v>0</v>
      </c>
      <c r="F172" s="1">
        <f t="shared" si="40"/>
        <v>0</v>
      </c>
      <c r="G172" s="1">
        <v>0</v>
      </c>
      <c r="H172" s="1">
        <f t="shared" si="41"/>
        <v>0</v>
      </c>
      <c r="I172" s="1">
        <v>0</v>
      </c>
      <c r="J172" s="1">
        <f t="shared" si="42"/>
        <v>0</v>
      </c>
      <c r="K172" s="1">
        <f t="shared" si="43"/>
        <v>0</v>
      </c>
      <c r="L172" s="1">
        <f t="shared" si="44"/>
        <v>0</v>
      </c>
      <c r="M172" s="10" t="s">
        <v>677</v>
      </c>
      <c r="N172" s="10" t="s">
        <v>677</v>
      </c>
      <c r="O172" s="10" t="s">
        <v>677</v>
      </c>
      <c r="P172" s="10" t="s">
        <v>677</v>
      </c>
      <c r="AU172" s="7"/>
      <c r="AV172" s="28">
        <v>0</v>
      </c>
      <c r="AW172" s="3" t="s">
        <v>677</v>
      </c>
    </row>
    <row r="173" spans="1:49" ht="28.5" customHeight="1" x14ac:dyDescent="0.3">
      <c r="A173" s="10" t="s">
        <v>677</v>
      </c>
      <c r="B173" s="10" t="s">
        <v>677</v>
      </c>
      <c r="C173" s="10" t="s">
        <v>677</v>
      </c>
      <c r="D173" s="1">
        <v>0</v>
      </c>
      <c r="E173" s="1">
        <v>0</v>
      </c>
      <c r="F173" s="1">
        <f t="shared" si="40"/>
        <v>0</v>
      </c>
      <c r="G173" s="1">
        <v>0</v>
      </c>
      <c r="H173" s="1">
        <f t="shared" si="41"/>
        <v>0</v>
      </c>
      <c r="I173" s="1">
        <v>0</v>
      </c>
      <c r="J173" s="1">
        <f t="shared" si="42"/>
        <v>0</v>
      </c>
      <c r="K173" s="1">
        <f t="shared" si="43"/>
        <v>0</v>
      </c>
      <c r="L173" s="1">
        <f t="shared" si="44"/>
        <v>0</v>
      </c>
      <c r="M173" s="10" t="s">
        <v>677</v>
      </c>
      <c r="N173" s="10" t="s">
        <v>677</v>
      </c>
      <c r="O173" s="10" t="s">
        <v>677</v>
      </c>
      <c r="P173" s="10" t="s">
        <v>677</v>
      </c>
      <c r="AU173" s="7"/>
      <c r="AV173" s="28">
        <v>0</v>
      </c>
      <c r="AW173" s="3" t="s">
        <v>677</v>
      </c>
    </row>
    <row r="174" spans="1:49" ht="28.5" customHeight="1" x14ac:dyDescent="0.3">
      <c r="A174" s="10" t="s">
        <v>677</v>
      </c>
      <c r="B174" s="10" t="s">
        <v>677</v>
      </c>
      <c r="C174" s="10" t="s">
        <v>677</v>
      </c>
      <c r="D174" s="1">
        <v>0</v>
      </c>
      <c r="E174" s="1">
        <v>0</v>
      </c>
      <c r="F174" s="1">
        <f t="shared" si="40"/>
        <v>0</v>
      </c>
      <c r="G174" s="1">
        <v>0</v>
      </c>
      <c r="H174" s="1">
        <f t="shared" si="41"/>
        <v>0</v>
      </c>
      <c r="I174" s="1">
        <v>0</v>
      </c>
      <c r="J174" s="1">
        <f t="shared" si="42"/>
        <v>0</v>
      </c>
      <c r="K174" s="1">
        <f t="shared" si="43"/>
        <v>0</v>
      </c>
      <c r="L174" s="1">
        <f t="shared" si="44"/>
        <v>0</v>
      </c>
      <c r="M174" s="10" t="s">
        <v>677</v>
      </c>
      <c r="N174" s="10" t="s">
        <v>677</v>
      </c>
      <c r="O174" s="10" t="s">
        <v>677</v>
      </c>
      <c r="P174" s="10" t="s">
        <v>677</v>
      </c>
      <c r="AU174" s="7"/>
      <c r="AV174" s="28">
        <v>0</v>
      </c>
      <c r="AW174" s="3" t="s">
        <v>677</v>
      </c>
    </row>
    <row r="175" spans="1:49" ht="28.5" customHeight="1" x14ac:dyDescent="0.3">
      <c r="A175" s="10" t="s">
        <v>677</v>
      </c>
      <c r="B175" s="10" t="s">
        <v>677</v>
      </c>
      <c r="C175" s="10" t="s">
        <v>677</v>
      </c>
      <c r="D175" s="1">
        <v>0</v>
      </c>
      <c r="E175" s="1">
        <v>0</v>
      </c>
      <c r="F175" s="1">
        <f t="shared" si="40"/>
        <v>0</v>
      </c>
      <c r="G175" s="1">
        <v>0</v>
      </c>
      <c r="H175" s="1">
        <f t="shared" si="41"/>
        <v>0</v>
      </c>
      <c r="I175" s="1">
        <v>0</v>
      </c>
      <c r="J175" s="1">
        <f t="shared" si="42"/>
        <v>0</v>
      </c>
      <c r="K175" s="1">
        <f t="shared" si="43"/>
        <v>0</v>
      </c>
      <c r="L175" s="1">
        <f t="shared" si="44"/>
        <v>0</v>
      </c>
      <c r="M175" s="10" t="s">
        <v>677</v>
      </c>
      <c r="N175" s="10" t="s">
        <v>677</v>
      </c>
      <c r="O175" s="10" t="s">
        <v>677</v>
      </c>
      <c r="P175" s="10" t="s">
        <v>677</v>
      </c>
      <c r="AU175" s="7"/>
      <c r="AV175" s="28">
        <v>0</v>
      </c>
      <c r="AW175" s="3" t="s">
        <v>677</v>
      </c>
    </row>
    <row r="176" spans="1:49" ht="28.5" customHeight="1" x14ac:dyDescent="0.3">
      <c r="A176" s="10" t="s">
        <v>677</v>
      </c>
      <c r="B176" s="10" t="s">
        <v>677</v>
      </c>
      <c r="C176" s="10" t="s">
        <v>677</v>
      </c>
      <c r="D176" s="1">
        <v>0</v>
      </c>
      <c r="E176" s="1">
        <v>0</v>
      </c>
      <c r="F176" s="1">
        <f t="shared" si="40"/>
        <v>0</v>
      </c>
      <c r="G176" s="1">
        <v>0</v>
      </c>
      <c r="H176" s="1">
        <f t="shared" si="41"/>
        <v>0</v>
      </c>
      <c r="I176" s="1">
        <v>0</v>
      </c>
      <c r="J176" s="1">
        <f t="shared" si="42"/>
        <v>0</v>
      </c>
      <c r="K176" s="1">
        <f t="shared" si="43"/>
        <v>0</v>
      </c>
      <c r="L176" s="1">
        <f t="shared" si="44"/>
        <v>0</v>
      </c>
      <c r="M176" s="10" t="s">
        <v>677</v>
      </c>
      <c r="N176" s="10" t="s">
        <v>677</v>
      </c>
      <c r="O176" s="10" t="s">
        <v>677</v>
      </c>
      <c r="P176" s="10" t="s">
        <v>677</v>
      </c>
      <c r="AU176" s="7"/>
      <c r="AV176" s="28">
        <v>0</v>
      </c>
      <c r="AW176" s="3" t="s">
        <v>677</v>
      </c>
    </row>
    <row r="177" spans="1:49" ht="28.5" customHeight="1" x14ac:dyDescent="0.3">
      <c r="A177" s="10" t="s">
        <v>677</v>
      </c>
      <c r="B177" s="10" t="s">
        <v>677</v>
      </c>
      <c r="C177" s="10" t="s">
        <v>677</v>
      </c>
      <c r="D177" s="1">
        <v>0</v>
      </c>
      <c r="E177" s="1">
        <v>0</v>
      </c>
      <c r="F177" s="1">
        <f t="shared" si="40"/>
        <v>0</v>
      </c>
      <c r="G177" s="1">
        <v>0</v>
      </c>
      <c r="H177" s="1">
        <f t="shared" si="41"/>
        <v>0</v>
      </c>
      <c r="I177" s="1">
        <v>0</v>
      </c>
      <c r="J177" s="1">
        <f t="shared" si="42"/>
        <v>0</v>
      </c>
      <c r="K177" s="1">
        <f t="shared" si="43"/>
        <v>0</v>
      </c>
      <c r="L177" s="1">
        <f t="shared" si="44"/>
        <v>0</v>
      </c>
      <c r="M177" s="10" t="s">
        <v>677</v>
      </c>
      <c r="N177" s="10" t="s">
        <v>677</v>
      </c>
      <c r="O177" s="10" t="s">
        <v>677</v>
      </c>
      <c r="P177" s="10" t="s">
        <v>677</v>
      </c>
      <c r="AU177" s="7"/>
      <c r="AV177" s="28">
        <v>0</v>
      </c>
      <c r="AW177" s="3" t="s">
        <v>677</v>
      </c>
    </row>
    <row r="178" spans="1:49" ht="28.5" customHeight="1" x14ac:dyDescent="0.3">
      <c r="A178" s="10" t="s">
        <v>677</v>
      </c>
      <c r="B178" s="10" t="s">
        <v>677</v>
      </c>
      <c r="C178" s="10" t="s">
        <v>677</v>
      </c>
      <c r="D178" s="1">
        <v>0</v>
      </c>
      <c r="E178" s="1">
        <v>0</v>
      </c>
      <c r="F178" s="1">
        <f t="shared" si="40"/>
        <v>0</v>
      </c>
      <c r="G178" s="1">
        <v>0</v>
      </c>
      <c r="H178" s="1">
        <f t="shared" si="41"/>
        <v>0</v>
      </c>
      <c r="I178" s="1">
        <v>0</v>
      </c>
      <c r="J178" s="1">
        <f t="shared" si="42"/>
        <v>0</v>
      </c>
      <c r="K178" s="1">
        <f t="shared" si="43"/>
        <v>0</v>
      </c>
      <c r="L178" s="1">
        <f t="shared" si="44"/>
        <v>0</v>
      </c>
      <c r="M178" s="10" t="s">
        <v>677</v>
      </c>
      <c r="N178" s="10" t="s">
        <v>677</v>
      </c>
      <c r="O178" s="10" t="s">
        <v>677</v>
      </c>
      <c r="P178" s="10" t="s">
        <v>677</v>
      </c>
      <c r="AU178" s="7"/>
      <c r="AV178" s="28">
        <v>0</v>
      </c>
      <c r="AW178" s="3" t="s">
        <v>677</v>
      </c>
    </row>
    <row r="179" spans="1:49" ht="28.5" customHeight="1" x14ac:dyDescent="0.3">
      <c r="A179" s="10" t="s">
        <v>677</v>
      </c>
      <c r="B179" s="10" t="s">
        <v>677</v>
      </c>
      <c r="C179" s="10" t="s">
        <v>677</v>
      </c>
      <c r="D179" s="1">
        <v>0</v>
      </c>
      <c r="E179" s="1">
        <v>0</v>
      </c>
      <c r="F179" s="1">
        <f t="shared" si="40"/>
        <v>0</v>
      </c>
      <c r="G179" s="1">
        <v>0</v>
      </c>
      <c r="H179" s="1">
        <f t="shared" si="41"/>
        <v>0</v>
      </c>
      <c r="I179" s="1">
        <v>0</v>
      </c>
      <c r="J179" s="1">
        <f t="shared" si="42"/>
        <v>0</v>
      </c>
      <c r="K179" s="1">
        <f t="shared" si="43"/>
        <v>0</v>
      </c>
      <c r="L179" s="1">
        <f t="shared" si="44"/>
        <v>0</v>
      </c>
      <c r="M179" s="10" t="s">
        <v>677</v>
      </c>
      <c r="N179" s="10" t="s">
        <v>677</v>
      </c>
      <c r="O179" s="10" t="s">
        <v>677</v>
      </c>
      <c r="P179" s="10" t="s">
        <v>677</v>
      </c>
      <c r="AU179" s="7"/>
      <c r="AV179" s="28">
        <v>0</v>
      </c>
      <c r="AW179" s="3" t="s">
        <v>677</v>
      </c>
    </row>
    <row r="180" spans="1:49" ht="28.5" customHeight="1" x14ac:dyDescent="0.3">
      <c r="A180" s="10" t="s">
        <v>677</v>
      </c>
      <c r="B180" s="10" t="s">
        <v>677</v>
      </c>
      <c r="C180" s="10" t="s">
        <v>677</v>
      </c>
      <c r="D180" s="1">
        <v>0</v>
      </c>
      <c r="E180" s="1">
        <v>0</v>
      </c>
      <c r="F180" s="1">
        <f t="shared" si="40"/>
        <v>0</v>
      </c>
      <c r="G180" s="1">
        <v>0</v>
      </c>
      <c r="H180" s="1">
        <f t="shared" si="41"/>
        <v>0</v>
      </c>
      <c r="I180" s="1">
        <v>0</v>
      </c>
      <c r="J180" s="1">
        <f t="shared" si="42"/>
        <v>0</v>
      </c>
      <c r="K180" s="1">
        <f t="shared" si="43"/>
        <v>0</v>
      </c>
      <c r="L180" s="1">
        <f t="shared" si="44"/>
        <v>0</v>
      </c>
      <c r="M180" s="10" t="s">
        <v>677</v>
      </c>
      <c r="N180" s="10" t="s">
        <v>677</v>
      </c>
      <c r="O180" s="10" t="s">
        <v>677</v>
      </c>
      <c r="P180" s="10" t="s">
        <v>677</v>
      </c>
      <c r="AU180" s="7"/>
      <c r="AV180" s="28">
        <v>0</v>
      </c>
      <c r="AW180" s="3" t="s">
        <v>677</v>
      </c>
    </row>
    <row r="181" spans="1:49" ht="28.5" customHeight="1" x14ac:dyDescent="0.3">
      <c r="A181" s="10" t="s">
        <v>677</v>
      </c>
      <c r="B181" s="10" t="s">
        <v>677</v>
      </c>
      <c r="C181" s="10" t="s">
        <v>677</v>
      </c>
      <c r="D181" s="1">
        <v>0</v>
      </c>
      <c r="E181" s="1">
        <v>0</v>
      </c>
      <c r="F181" s="1">
        <f t="shared" si="40"/>
        <v>0</v>
      </c>
      <c r="G181" s="1">
        <v>0</v>
      </c>
      <c r="H181" s="1">
        <f t="shared" si="41"/>
        <v>0</v>
      </c>
      <c r="I181" s="1">
        <v>0</v>
      </c>
      <c r="J181" s="1">
        <f t="shared" si="42"/>
        <v>0</v>
      </c>
      <c r="K181" s="1">
        <f t="shared" si="43"/>
        <v>0</v>
      </c>
      <c r="L181" s="1">
        <f t="shared" si="44"/>
        <v>0</v>
      </c>
      <c r="M181" s="10" t="s">
        <v>677</v>
      </c>
      <c r="N181" s="10" t="s">
        <v>677</v>
      </c>
      <c r="O181" s="10" t="s">
        <v>677</v>
      </c>
      <c r="P181" s="10" t="s">
        <v>677</v>
      </c>
      <c r="AU181" s="7"/>
      <c r="AV181" s="28">
        <v>0</v>
      </c>
      <c r="AW181" s="3" t="s">
        <v>677</v>
      </c>
    </row>
    <row r="182" spans="1:49" ht="28.5" customHeight="1" x14ac:dyDescent="0.3">
      <c r="A182" s="10" t="s">
        <v>109</v>
      </c>
      <c r="B182" s="10" t="s">
        <v>677</v>
      </c>
      <c r="C182" s="10" t="s">
        <v>677</v>
      </c>
      <c r="D182" s="10" t="s">
        <v>677</v>
      </c>
      <c r="E182" s="27">
        <v>0</v>
      </c>
      <c r="F182" s="1">
        <f>TRUNC(SUMIF(Q158:Q181, Q157,F158:F181),0)</f>
        <v>581916</v>
      </c>
      <c r="G182" s="1">
        <v>0</v>
      </c>
      <c r="H182" s="1">
        <f>TRUNC(SUMIF(Q158:Q181, Q157,H158:H181),0)</f>
        <v>117008</v>
      </c>
      <c r="I182" s="1">
        <v>0</v>
      </c>
      <c r="J182" s="1">
        <f>TRUNC(SUMIF(Q158:Q181, Q157,J158:J181),0)</f>
        <v>0</v>
      </c>
      <c r="K182" s="12" t="s">
        <v>677</v>
      </c>
      <c r="L182" s="1">
        <f>F182+H182+J182</f>
        <v>698924</v>
      </c>
      <c r="M182" s="10"/>
      <c r="AW182" s="10" t="s">
        <v>677</v>
      </c>
    </row>
    <row r="183" spans="1:49" ht="28.5" customHeight="1" x14ac:dyDescent="0.3">
      <c r="A183" s="10" t="s">
        <v>12</v>
      </c>
      <c r="B183" s="10"/>
      <c r="C183" s="10"/>
      <c r="D183" s="10" t="s">
        <v>677</v>
      </c>
      <c r="E183" s="10" t="s">
        <v>677</v>
      </c>
      <c r="F183" s="10" t="s">
        <v>677</v>
      </c>
      <c r="G183" s="10" t="s">
        <v>677</v>
      </c>
      <c r="H183" s="10" t="s">
        <v>677</v>
      </c>
      <c r="I183" s="10" t="s">
        <v>677</v>
      </c>
      <c r="J183" s="10" t="s">
        <v>677</v>
      </c>
      <c r="K183" s="10" t="s">
        <v>677</v>
      </c>
      <c r="L183" s="10" t="s">
        <v>677</v>
      </c>
      <c r="M183" s="10" t="s">
        <v>677</v>
      </c>
      <c r="N183" s="5" t="s">
        <v>677</v>
      </c>
      <c r="Q183" s="7" t="s">
        <v>719</v>
      </c>
      <c r="R183" s="28">
        <v>800000</v>
      </c>
      <c r="S183" s="28">
        <v>0</v>
      </c>
      <c r="AH183" s="7"/>
      <c r="AW183" s="10" t="s">
        <v>677</v>
      </c>
    </row>
    <row r="184" spans="1:49" ht="28.5" customHeight="1" x14ac:dyDescent="0.3">
      <c r="A184" s="10" t="s">
        <v>915</v>
      </c>
      <c r="B184" s="10"/>
      <c r="C184" s="10" t="s">
        <v>1205</v>
      </c>
      <c r="D184" s="22">
        <v>2.2000000000000002</v>
      </c>
      <c r="E184" s="1">
        <f>ROUNDDOWN(ROUNDDOWN(일위대가목록!E27,0)*AV184/100,0)</f>
        <v>0</v>
      </c>
      <c r="F184" s="1">
        <f t="shared" ref="F184:F207" si="45">ROUNDDOWN(D184*E184,0)</f>
        <v>0</v>
      </c>
      <c r="G184" s="1">
        <f>ROUNDDOWN(ROUNDDOWN(일위대가목록!F27,0)*AV184/100,0)</f>
        <v>153671</v>
      </c>
      <c r="H184" s="1">
        <f t="shared" ref="H184:H207" si="46">ROUNDDOWN(D184*G184,0)</f>
        <v>338076</v>
      </c>
      <c r="I184" s="1">
        <f>ROUNDDOWN(ROUNDDOWN(일위대가목록!G27,0)*AV184/100,0)</f>
        <v>0</v>
      </c>
      <c r="J184" s="1">
        <f t="shared" ref="J184:J207" si="47">ROUNDDOWN(D184*I184,0)</f>
        <v>0</v>
      </c>
      <c r="K184" s="1">
        <f t="shared" ref="K184:K207" si="48">ROUNDDOWN(E184+G184+I184,0)</f>
        <v>153671</v>
      </c>
      <c r="L184" s="1">
        <f t="shared" ref="L184:L207" si="49">ROUNDDOWN(F184+H184+J184,0)</f>
        <v>338076</v>
      </c>
      <c r="M184" s="10" t="s">
        <v>677</v>
      </c>
      <c r="N184" s="51" t="str">
        <f>HYPERLINK("#일위대가목록!A27", "AFA310091100")</f>
        <v>AFA310091100</v>
      </c>
      <c r="O184" s="7" t="s">
        <v>677</v>
      </c>
      <c r="P184" s="7" t="s">
        <v>677</v>
      </c>
      <c r="Q184" s="7" t="s">
        <v>719</v>
      </c>
      <c r="R184" s="28">
        <v>800000</v>
      </c>
      <c r="S184" s="28">
        <v>10</v>
      </c>
      <c r="T184" s="7" t="s">
        <v>731</v>
      </c>
      <c r="U184" s="7" t="s">
        <v>399</v>
      </c>
      <c r="V184" s="7" t="s">
        <v>399</v>
      </c>
      <c r="W184" s="7" t="s">
        <v>677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9</v>
      </c>
      <c r="AJ184" s="28">
        <v>0</v>
      </c>
      <c r="AK184" s="28">
        <v>0</v>
      </c>
      <c r="AL184" s="28">
        <v>0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7" t="s">
        <v>677</v>
      </c>
      <c r="AV184" s="28">
        <v>100</v>
      </c>
      <c r="AW184" s="3" t="s">
        <v>688</v>
      </c>
    </row>
    <row r="185" spans="1:49" s="57" customFormat="1" ht="28.5" customHeight="1" x14ac:dyDescent="0.3">
      <c r="A185" s="35" t="s">
        <v>1208</v>
      </c>
      <c r="B185" s="35" t="s">
        <v>1209</v>
      </c>
      <c r="C185" s="35" t="s">
        <v>1210</v>
      </c>
      <c r="D185" s="52">
        <v>3.64</v>
      </c>
      <c r="E185" s="53"/>
      <c r="F185" s="53">
        <f t="shared" si="45"/>
        <v>0</v>
      </c>
      <c r="G185" s="53">
        <f>ROUNDDOWN(ROUNDDOWN([3]단가대비표!T28,0)*AV185/100,0)</f>
        <v>0</v>
      </c>
      <c r="H185" s="53">
        <f t="shared" si="46"/>
        <v>0</v>
      </c>
      <c r="I185" s="53">
        <f>단가대비표!AE83</f>
        <v>191944</v>
      </c>
      <c r="J185" s="53">
        <f t="shared" si="47"/>
        <v>698676</v>
      </c>
      <c r="K185" s="53">
        <f t="shared" si="48"/>
        <v>191944</v>
      </c>
      <c r="L185" s="1">
        <f t="shared" si="49"/>
        <v>698676</v>
      </c>
      <c r="M185" s="35"/>
      <c r="N185" s="54" t="s">
        <v>1211</v>
      </c>
      <c r="O185" s="38" t="s">
        <v>677</v>
      </c>
      <c r="P185" s="38" t="s">
        <v>677</v>
      </c>
      <c r="Q185" s="7" t="s">
        <v>719</v>
      </c>
      <c r="R185" s="55">
        <v>499984</v>
      </c>
      <c r="S185" s="55">
        <v>10</v>
      </c>
      <c r="T185" s="38" t="s">
        <v>399</v>
      </c>
      <c r="U185" s="38" t="s">
        <v>399</v>
      </c>
      <c r="V185" s="38" t="s">
        <v>731</v>
      </c>
      <c r="W185" s="38" t="s">
        <v>677</v>
      </c>
      <c r="X185" s="55">
        <v>0</v>
      </c>
      <c r="Y185" s="55">
        <v>0</v>
      </c>
      <c r="Z185" s="55">
        <v>0</v>
      </c>
      <c r="AA185" s="55">
        <v>0</v>
      </c>
      <c r="AB185" s="55">
        <v>0</v>
      </c>
      <c r="AC185" s="55">
        <v>0</v>
      </c>
      <c r="AD185" s="55">
        <v>0</v>
      </c>
      <c r="AE185" s="55">
        <v>0</v>
      </c>
      <c r="AF185" s="55">
        <v>0</v>
      </c>
      <c r="AG185" s="55">
        <v>0</v>
      </c>
      <c r="AH185" s="55">
        <v>0</v>
      </c>
      <c r="AI185" s="55">
        <v>27</v>
      </c>
      <c r="AJ185" s="55">
        <v>0</v>
      </c>
      <c r="AK185" s="55">
        <v>0</v>
      </c>
      <c r="AL185" s="55">
        <v>0</v>
      </c>
      <c r="AM185" s="55">
        <v>0</v>
      </c>
      <c r="AN185" s="55">
        <v>0</v>
      </c>
      <c r="AO185" s="55">
        <v>0</v>
      </c>
      <c r="AP185" s="55">
        <v>0</v>
      </c>
      <c r="AQ185" s="55">
        <v>0</v>
      </c>
      <c r="AR185" s="55">
        <v>0</v>
      </c>
      <c r="AS185" s="55">
        <v>0</v>
      </c>
      <c r="AT185" s="55">
        <v>0</v>
      </c>
      <c r="AU185" s="38" t="s">
        <v>677</v>
      </c>
      <c r="AV185" s="55">
        <v>100</v>
      </c>
      <c r="AW185" s="56" t="s">
        <v>677</v>
      </c>
    </row>
    <row r="186" spans="1:49" s="46" customFormat="1" ht="28.5" customHeight="1" x14ac:dyDescent="0.3">
      <c r="A186" s="39" t="s">
        <v>1224</v>
      </c>
      <c r="B186" s="39" t="s">
        <v>1225</v>
      </c>
      <c r="C186" s="39" t="s">
        <v>71</v>
      </c>
      <c r="D186" s="40">
        <v>21</v>
      </c>
      <c r="E186" s="41">
        <v>0</v>
      </c>
      <c r="F186" s="41">
        <f t="shared" si="45"/>
        <v>0</v>
      </c>
      <c r="G186" s="41">
        <v>0</v>
      </c>
      <c r="H186" s="41">
        <f t="shared" si="46"/>
        <v>0</v>
      </c>
      <c r="I186" s="41">
        <f>단가대비표!AE85</f>
        <v>14544</v>
      </c>
      <c r="J186" s="41">
        <f t="shared" si="47"/>
        <v>305424</v>
      </c>
      <c r="K186" s="41">
        <f t="shared" si="48"/>
        <v>14544</v>
      </c>
      <c r="L186" s="41">
        <f t="shared" si="49"/>
        <v>305424</v>
      </c>
      <c r="M186" s="39" t="s">
        <v>677</v>
      </c>
      <c r="N186" s="42" t="s">
        <v>1211</v>
      </c>
      <c r="O186" s="43" t="s">
        <v>677</v>
      </c>
      <c r="P186" s="43" t="s">
        <v>677</v>
      </c>
      <c r="Q186" s="7" t="s">
        <v>719</v>
      </c>
      <c r="R186" s="44">
        <v>499984</v>
      </c>
      <c r="S186" s="44">
        <v>10</v>
      </c>
      <c r="T186" s="43" t="s">
        <v>399</v>
      </c>
      <c r="U186" s="43" t="s">
        <v>399</v>
      </c>
      <c r="V186" s="43" t="s">
        <v>731</v>
      </c>
      <c r="W186" s="43" t="s">
        <v>677</v>
      </c>
      <c r="X186" s="44">
        <v>0</v>
      </c>
      <c r="Y186" s="44">
        <v>0</v>
      </c>
      <c r="Z186" s="44">
        <v>0</v>
      </c>
      <c r="AA186" s="44">
        <v>0</v>
      </c>
      <c r="AB186" s="44">
        <v>0</v>
      </c>
      <c r="AC186" s="44">
        <v>0</v>
      </c>
      <c r="AD186" s="44">
        <v>0</v>
      </c>
      <c r="AE186" s="44">
        <v>0</v>
      </c>
      <c r="AF186" s="44">
        <v>0</v>
      </c>
      <c r="AG186" s="44">
        <v>0</v>
      </c>
      <c r="AH186" s="44">
        <v>0</v>
      </c>
      <c r="AI186" s="44">
        <v>27</v>
      </c>
      <c r="AJ186" s="44">
        <v>0</v>
      </c>
      <c r="AK186" s="44">
        <v>0</v>
      </c>
      <c r="AL186" s="44">
        <v>0</v>
      </c>
      <c r="AM186" s="44">
        <v>0</v>
      </c>
      <c r="AN186" s="44">
        <v>0</v>
      </c>
      <c r="AO186" s="44">
        <v>0</v>
      </c>
      <c r="AP186" s="44">
        <v>0</v>
      </c>
      <c r="AQ186" s="44">
        <v>0</v>
      </c>
      <c r="AR186" s="44">
        <v>0</v>
      </c>
      <c r="AS186" s="44">
        <v>0</v>
      </c>
      <c r="AT186" s="44">
        <v>0</v>
      </c>
      <c r="AU186" s="43" t="s">
        <v>677</v>
      </c>
      <c r="AV186" s="44">
        <v>100</v>
      </c>
      <c r="AW186" s="45" t="s">
        <v>677</v>
      </c>
    </row>
    <row r="187" spans="1:49" s="46" customFormat="1" ht="28.5" customHeight="1" x14ac:dyDescent="0.3">
      <c r="A187" s="39" t="s">
        <v>1226</v>
      </c>
      <c r="B187" s="39" t="s">
        <v>1225</v>
      </c>
      <c r="C187" s="39" t="s">
        <v>71</v>
      </c>
      <c r="D187" s="40">
        <v>6</v>
      </c>
      <c r="E187" s="41">
        <v>0</v>
      </c>
      <c r="F187" s="41">
        <f t="shared" ref="F187" si="50">ROUNDDOWN(D187*E187,0)</f>
        <v>0</v>
      </c>
      <c r="G187" s="41">
        <v>0</v>
      </c>
      <c r="H187" s="41">
        <f t="shared" ref="H187" si="51">ROUNDDOWN(D187*G187,0)</f>
        <v>0</v>
      </c>
      <c r="I187" s="41">
        <f>단가대비표!AE86</f>
        <v>17277</v>
      </c>
      <c r="J187" s="41">
        <f t="shared" ref="J187" si="52">ROUNDDOWN(D187*I187,0)</f>
        <v>103662</v>
      </c>
      <c r="K187" s="41">
        <f t="shared" ref="K187" si="53">ROUNDDOWN(E187+G187+I187,0)</f>
        <v>17277</v>
      </c>
      <c r="L187" s="41">
        <f t="shared" ref="L187" si="54">ROUNDDOWN(F187+H187+J187,0)</f>
        <v>103662</v>
      </c>
      <c r="M187" s="39" t="s">
        <v>677</v>
      </c>
      <c r="N187" s="42" t="s">
        <v>1211</v>
      </c>
      <c r="O187" s="43" t="s">
        <v>677</v>
      </c>
      <c r="P187" s="43" t="s">
        <v>677</v>
      </c>
      <c r="Q187" s="7" t="s">
        <v>719</v>
      </c>
      <c r="R187" s="44">
        <v>499984</v>
      </c>
      <c r="S187" s="44">
        <v>10</v>
      </c>
      <c r="T187" s="43" t="s">
        <v>399</v>
      </c>
      <c r="U187" s="43" t="s">
        <v>399</v>
      </c>
      <c r="V187" s="43" t="s">
        <v>731</v>
      </c>
      <c r="W187" s="43" t="s">
        <v>677</v>
      </c>
      <c r="X187" s="44">
        <v>0</v>
      </c>
      <c r="Y187" s="44">
        <v>0</v>
      </c>
      <c r="Z187" s="44">
        <v>0</v>
      </c>
      <c r="AA187" s="44">
        <v>0</v>
      </c>
      <c r="AB187" s="44">
        <v>0</v>
      </c>
      <c r="AC187" s="44">
        <v>0</v>
      </c>
      <c r="AD187" s="44">
        <v>0</v>
      </c>
      <c r="AE187" s="44">
        <v>0</v>
      </c>
      <c r="AF187" s="44">
        <v>0</v>
      </c>
      <c r="AG187" s="44">
        <v>0</v>
      </c>
      <c r="AH187" s="44">
        <v>0</v>
      </c>
      <c r="AI187" s="44">
        <v>27</v>
      </c>
      <c r="AJ187" s="44">
        <v>0</v>
      </c>
      <c r="AK187" s="44">
        <v>0</v>
      </c>
      <c r="AL187" s="44">
        <v>0</v>
      </c>
      <c r="AM187" s="44">
        <v>0</v>
      </c>
      <c r="AN187" s="44">
        <v>0</v>
      </c>
      <c r="AO187" s="44">
        <v>0</v>
      </c>
      <c r="AP187" s="44">
        <v>0</v>
      </c>
      <c r="AQ187" s="44">
        <v>0</v>
      </c>
      <c r="AR187" s="44">
        <v>0</v>
      </c>
      <c r="AS187" s="44">
        <v>0</v>
      </c>
      <c r="AT187" s="44">
        <v>0</v>
      </c>
      <c r="AU187" s="43" t="s">
        <v>677</v>
      </c>
      <c r="AV187" s="44">
        <v>100</v>
      </c>
      <c r="AW187" s="45" t="s">
        <v>677</v>
      </c>
    </row>
    <row r="188" spans="1:49" s="46" customFormat="1" ht="28.5" customHeight="1" x14ac:dyDescent="0.3">
      <c r="A188" s="39"/>
      <c r="B188" s="39"/>
      <c r="C188" s="39"/>
      <c r="D188" s="40"/>
      <c r="E188" s="41"/>
      <c r="F188" s="41"/>
      <c r="G188" s="41"/>
      <c r="H188" s="41"/>
      <c r="I188" s="41"/>
      <c r="J188" s="41"/>
      <c r="K188" s="41"/>
      <c r="L188" s="41"/>
      <c r="M188" s="39"/>
      <c r="N188" s="42"/>
      <c r="O188" s="43"/>
      <c r="P188" s="43"/>
      <c r="Q188" s="38"/>
      <c r="R188" s="44"/>
      <c r="S188" s="44"/>
      <c r="T188" s="43"/>
      <c r="U188" s="43"/>
      <c r="V188" s="43"/>
      <c r="W188" s="43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3"/>
      <c r="AV188" s="44"/>
      <c r="AW188" s="45"/>
    </row>
    <row r="189" spans="1:49" s="46" customFormat="1" ht="28.5" customHeight="1" x14ac:dyDescent="0.3">
      <c r="A189" s="39"/>
      <c r="B189" s="39"/>
      <c r="C189" s="39"/>
      <c r="D189" s="40"/>
      <c r="E189" s="41"/>
      <c r="F189" s="41"/>
      <c r="G189" s="41"/>
      <c r="H189" s="41"/>
      <c r="I189" s="41"/>
      <c r="J189" s="41"/>
      <c r="K189" s="41"/>
      <c r="L189" s="1"/>
      <c r="M189" s="39"/>
      <c r="N189" s="42"/>
      <c r="O189" s="43"/>
      <c r="P189" s="43"/>
      <c r="Q189" s="38"/>
      <c r="R189" s="44"/>
      <c r="S189" s="44"/>
      <c r="T189" s="43"/>
      <c r="U189" s="43"/>
      <c r="V189" s="43"/>
      <c r="W189" s="43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3"/>
      <c r="AV189" s="44"/>
      <c r="AW189" s="45"/>
    </row>
    <row r="190" spans="1:49" s="46" customFormat="1" ht="28.5" customHeight="1" x14ac:dyDescent="0.3">
      <c r="A190" s="39"/>
      <c r="B190" s="39"/>
      <c r="C190" s="39"/>
      <c r="D190" s="40"/>
      <c r="E190" s="41"/>
      <c r="F190" s="41"/>
      <c r="G190" s="41"/>
      <c r="H190" s="41"/>
      <c r="I190" s="41"/>
      <c r="J190" s="41"/>
      <c r="K190" s="41"/>
      <c r="L190" s="1"/>
      <c r="M190" s="39"/>
      <c r="N190" s="42"/>
      <c r="O190" s="43"/>
      <c r="P190" s="43"/>
      <c r="Q190" s="38"/>
      <c r="R190" s="44"/>
      <c r="S190" s="44"/>
      <c r="T190" s="43"/>
      <c r="U190" s="43"/>
      <c r="V190" s="43"/>
      <c r="W190" s="43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3"/>
      <c r="AV190" s="44"/>
      <c r="AW190" s="45"/>
    </row>
    <row r="191" spans="1:49" s="46" customFormat="1" ht="28.5" customHeight="1" x14ac:dyDescent="0.3">
      <c r="A191" s="39"/>
      <c r="B191" s="39"/>
      <c r="C191" s="39"/>
      <c r="D191" s="40"/>
      <c r="E191" s="41"/>
      <c r="F191" s="41"/>
      <c r="G191" s="41"/>
      <c r="H191" s="41"/>
      <c r="I191" s="41"/>
      <c r="J191" s="41"/>
      <c r="K191" s="41"/>
      <c r="L191" s="1"/>
      <c r="M191" s="39"/>
      <c r="N191" s="42"/>
      <c r="O191" s="43"/>
      <c r="P191" s="43"/>
      <c r="Q191" s="38"/>
      <c r="R191" s="44"/>
      <c r="S191" s="44"/>
      <c r="T191" s="43"/>
      <c r="U191" s="43"/>
      <c r="V191" s="43"/>
      <c r="W191" s="43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3"/>
      <c r="AV191" s="44"/>
      <c r="AW191" s="45"/>
    </row>
    <row r="192" spans="1:49" ht="28.5" customHeight="1" x14ac:dyDescent="0.3">
      <c r="A192" s="10" t="s">
        <v>677</v>
      </c>
      <c r="B192" s="10" t="s">
        <v>677</v>
      </c>
      <c r="C192" s="10" t="s">
        <v>677</v>
      </c>
      <c r="D192" s="1"/>
      <c r="E192" s="1">
        <v>0</v>
      </c>
      <c r="F192" s="1">
        <f t="shared" si="45"/>
        <v>0</v>
      </c>
      <c r="G192" s="1">
        <v>0</v>
      </c>
      <c r="H192" s="1">
        <f t="shared" si="46"/>
        <v>0</v>
      </c>
      <c r="I192" s="1">
        <v>0</v>
      </c>
      <c r="J192" s="1">
        <f t="shared" si="47"/>
        <v>0</v>
      </c>
      <c r="K192" s="1">
        <f t="shared" si="48"/>
        <v>0</v>
      </c>
      <c r="L192" s="1">
        <f t="shared" si="49"/>
        <v>0</v>
      </c>
      <c r="M192" s="10" t="s">
        <v>677</v>
      </c>
      <c r="N192" s="10" t="s">
        <v>677</v>
      </c>
      <c r="O192" s="10" t="s">
        <v>677</v>
      </c>
      <c r="P192" s="10" t="s">
        <v>677</v>
      </c>
      <c r="AU192" s="7"/>
      <c r="AV192" s="28">
        <v>0</v>
      </c>
      <c r="AW192" s="3" t="s">
        <v>677</v>
      </c>
    </row>
    <row r="193" spans="1:49" ht="28.5" customHeight="1" x14ac:dyDescent="0.3">
      <c r="A193" s="10" t="s">
        <v>677</v>
      </c>
      <c r="B193" s="10" t="s">
        <v>677</v>
      </c>
      <c r="C193" s="10" t="s">
        <v>677</v>
      </c>
      <c r="D193" s="1">
        <v>0</v>
      </c>
      <c r="E193" s="1">
        <v>0</v>
      </c>
      <c r="F193" s="1">
        <f t="shared" si="45"/>
        <v>0</v>
      </c>
      <c r="G193" s="1">
        <v>0</v>
      </c>
      <c r="H193" s="1">
        <f t="shared" si="46"/>
        <v>0</v>
      </c>
      <c r="I193" s="1">
        <v>0</v>
      </c>
      <c r="J193" s="1">
        <f t="shared" si="47"/>
        <v>0</v>
      </c>
      <c r="K193" s="1">
        <f t="shared" si="48"/>
        <v>0</v>
      </c>
      <c r="L193" s="1">
        <f t="shared" si="49"/>
        <v>0</v>
      </c>
      <c r="M193" s="10" t="s">
        <v>677</v>
      </c>
      <c r="N193" s="10" t="s">
        <v>677</v>
      </c>
      <c r="O193" s="10" t="s">
        <v>677</v>
      </c>
      <c r="P193" s="10" t="s">
        <v>677</v>
      </c>
      <c r="AU193" s="7"/>
      <c r="AV193" s="28">
        <v>0</v>
      </c>
      <c r="AW193" s="3" t="s">
        <v>677</v>
      </c>
    </row>
    <row r="194" spans="1:49" ht="28.5" customHeight="1" x14ac:dyDescent="0.3">
      <c r="A194" s="10" t="s">
        <v>677</v>
      </c>
      <c r="B194" s="10" t="s">
        <v>677</v>
      </c>
      <c r="C194" s="10" t="s">
        <v>677</v>
      </c>
      <c r="D194" s="1">
        <v>0</v>
      </c>
      <c r="E194" s="1">
        <v>0</v>
      </c>
      <c r="F194" s="1">
        <f t="shared" si="45"/>
        <v>0</v>
      </c>
      <c r="G194" s="1">
        <v>0</v>
      </c>
      <c r="H194" s="1">
        <f t="shared" si="46"/>
        <v>0</v>
      </c>
      <c r="I194" s="1">
        <v>0</v>
      </c>
      <c r="J194" s="1">
        <f t="shared" si="47"/>
        <v>0</v>
      </c>
      <c r="K194" s="1">
        <f t="shared" si="48"/>
        <v>0</v>
      </c>
      <c r="L194" s="1">
        <f t="shared" si="49"/>
        <v>0</v>
      </c>
      <c r="M194" s="10" t="s">
        <v>677</v>
      </c>
      <c r="N194" s="10" t="s">
        <v>677</v>
      </c>
      <c r="O194" s="10" t="s">
        <v>677</v>
      </c>
      <c r="P194" s="10" t="s">
        <v>677</v>
      </c>
      <c r="AU194" s="7"/>
      <c r="AV194" s="28">
        <v>0</v>
      </c>
      <c r="AW194" s="3" t="s">
        <v>677</v>
      </c>
    </row>
    <row r="195" spans="1:49" ht="28.5" customHeight="1" x14ac:dyDescent="0.3">
      <c r="A195" s="10" t="s">
        <v>677</v>
      </c>
      <c r="B195" s="10" t="s">
        <v>677</v>
      </c>
      <c r="C195" s="10" t="s">
        <v>677</v>
      </c>
      <c r="D195" s="1">
        <v>0</v>
      </c>
      <c r="E195" s="1">
        <v>0</v>
      </c>
      <c r="F195" s="1">
        <f t="shared" si="45"/>
        <v>0</v>
      </c>
      <c r="G195" s="1">
        <v>0</v>
      </c>
      <c r="H195" s="1">
        <f t="shared" si="46"/>
        <v>0</v>
      </c>
      <c r="I195" s="1">
        <v>0</v>
      </c>
      <c r="J195" s="1">
        <f t="shared" si="47"/>
        <v>0</v>
      </c>
      <c r="K195" s="1">
        <f t="shared" si="48"/>
        <v>0</v>
      </c>
      <c r="L195" s="1">
        <f t="shared" si="49"/>
        <v>0</v>
      </c>
      <c r="M195" s="10" t="s">
        <v>677</v>
      </c>
      <c r="N195" s="10" t="s">
        <v>677</v>
      </c>
      <c r="O195" s="10" t="s">
        <v>677</v>
      </c>
      <c r="P195" s="10" t="s">
        <v>677</v>
      </c>
      <c r="AU195" s="7"/>
      <c r="AV195" s="28">
        <v>0</v>
      </c>
      <c r="AW195" s="3" t="s">
        <v>677</v>
      </c>
    </row>
    <row r="196" spans="1:49" ht="28.5" customHeight="1" x14ac:dyDescent="0.3">
      <c r="A196" s="10" t="s">
        <v>677</v>
      </c>
      <c r="B196" s="10" t="s">
        <v>677</v>
      </c>
      <c r="C196" s="10" t="s">
        <v>677</v>
      </c>
      <c r="D196" s="1">
        <v>0</v>
      </c>
      <c r="E196" s="1">
        <v>0</v>
      </c>
      <c r="F196" s="1">
        <f t="shared" si="45"/>
        <v>0</v>
      </c>
      <c r="G196" s="1">
        <v>0</v>
      </c>
      <c r="H196" s="1">
        <f t="shared" si="46"/>
        <v>0</v>
      </c>
      <c r="I196" s="1">
        <v>0</v>
      </c>
      <c r="J196" s="1">
        <f t="shared" si="47"/>
        <v>0</v>
      </c>
      <c r="K196" s="1">
        <f t="shared" si="48"/>
        <v>0</v>
      </c>
      <c r="L196" s="1">
        <f t="shared" si="49"/>
        <v>0</v>
      </c>
      <c r="M196" s="10" t="s">
        <v>677</v>
      </c>
      <c r="N196" s="10" t="s">
        <v>677</v>
      </c>
      <c r="O196" s="10" t="s">
        <v>677</v>
      </c>
      <c r="P196" s="10" t="s">
        <v>677</v>
      </c>
      <c r="AU196" s="7"/>
      <c r="AV196" s="28">
        <v>0</v>
      </c>
      <c r="AW196" s="3" t="s">
        <v>677</v>
      </c>
    </row>
    <row r="197" spans="1:49" ht="28.5" customHeight="1" x14ac:dyDescent="0.3">
      <c r="A197" s="10" t="s">
        <v>677</v>
      </c>
      <c r="B197" s="10" t="s">
        <v>677</v>
      </c>
      <c r="C197" s="10" t="s">
        <v>677</v>
      </c>
      <c r="D197" s="1">
        <v>0</v>
      </c>
      <c r="E197" s="1">
        <v>0</v>
      </c>
      <c r="F197" s="1">
        <f t="shared" si="45"/>
        <v>0</v>
      </c>
      <c r="G197" s="1">
        <v>0</v>
      </c>
      <c r="H197" s="1">
        <f t="shared" si="46"/>
        <v>0</v>
      </c>
      <c r="I197" s="1">
        <v>0</v>
      </c>
      <c r="J197" s="1">
        <f t="shared" si="47"/>
        <v>0</v>
      </c>
      <c r="K197" s="1">
        <f t="shared" si="48"/>
        <v>0</v>
      </c>
      <c r="L197" s="1">
        <f t="shared" si="49"/>
        <v>0</v>
      </c>
      <c r="M197" s="10" t="s">
        <v>677</v>
      </c>
      <c r="N197" s="10" t="s">
        <v>677</v>
      </c>
      <c r="O197" s="10" t="s">
        <v>677</v>
      </c>
      <c r="P197" s="10" t="s">
        <v>677</v>
      </c>
      <c r="AU197" s="7"/>
      <c r="AV197" s="28">
        <v>0</v>
      </c>
      <c r="AW197" s="3" t="s">
        <v>677</v>
      </c>
    </row>
    <row r="198" spans="1:49" ht="28.5" customHeight="1" x14ac:dyDescent="0.3">
      <c r="A198" s="10" t="s">
        <v>677</v>
      </c>
      <c r="B198" s="10" t="s">
        <v>677</v>
      </c>
      <c r="C198" s="10" t="s">
        <v>677</v>
      </c>
      <c r="D198" s="1">
        <v>0</v>
      </c>
      <c r="E198" s="1">
        <v>0</v>
      </c>
      <c r="F198" s="1">
        <f t="shared" si="45"/>
        <v>0</v>
      </c>
      <c r="G198" s="1">
        <v>0</v>
      </c>
      <c r="H198" s="1">
        <f t="shared" si="46"/>
        <v>0</v>
      </c>
      <c r="I198" s="1">
        <v>0</v>
      </c>
      <c r="J198" s="1">
        <f t="shared" si="47"/>
        <v>0</v>
      </c>
      <c r="K198" s="1">
        <f t="shared" si="48"/>
        <v>0</v>
      </c>
      <c r="L198" s="1">
        <f t="shared" si="49"/>
        <v>0</v>
      </c>
      <c r="M198" s="10" t="s">
        <v>677</v>
      </c>
      <c r="N198" s="10" t="s">
        <v>677</v>
      </c>
      <c r="O198" s="10" t="s">
        <v>677</v>
      </c>
      <c r="P198" s="10" t="s">
        <v>677</v>
      </c>
      <c r="AU198" s="7"/>
      <c r="AV198" s="28">
        <v>0</v>
      </c>
      <c r="AW198" s="3" t="s">
        <v>677</v>
      </c>
    </row>
    <row r="199" spans="1:49" ht="28.5" customHeight="1" x14ac:dyDescent="0.3">
      <c r="A199" s="10" t="s">
        <v>677</v>
      </c>
      <c r="B199" s="10" t="s">
        <v>677</v>
      </c>
      <c r="C199" s="10" t="s">
        <v>677</v>
      </c>
      <c r="D199" s="1">
        <v>0</v>
      </c>
      <c r="E199" s="1">
        <v>0</v>
      </c>
      <c r="F199" s="1">
        <f t="shared" si="45"/>
        <v>0</v>
      </c>
      <c r="G199" s="1">
        <v>0</v>
      </c>
      <c r="H199" s="1">
        <f t="shared" si="46"/>
        <v>0</v>
      </c>
      <c r="I199" s="1">
        <v>0</v>
      </c>
      <c r="J199" s="1">
        <f t="shared" si="47"/>
        <v>0</v>
      </c>
      <c r="K199" s="1">
        <f t="shared" si="48"/>
        <v>0</v>
      </c>
      <c r="L199" s="1">
        <f t="shared" si="49"/>
        <v>0</v>
      </c>
      <c r="M199" s="10" t="s">
        <v>677</v>
      </c>
      <c r="N199" s="10" t="s">
        <v>677</v>
      </c>
      <c r="O199" s="10" t="s">
        <v>677</v>
      </c>
      <c r="P199" s="10" t="s">
        <v>677</v>
      </c>
      <c r="AU199" s="7"/>
      <c r="AV199" s="28">
        <v>0</v>
      </c>
      <c r="AW199" s="3" t="s">
        <v>677</v>
      </c>
    </row>
    <row r="200" spans="1:49" ht="28.5" customHeight="1" x14ac:dyDescent="0.3">
      <c r="A200" s="10" t="s">
        <v>677</v>
      </c>
      <c r="B200" s="10" t="s">
        <v>677</v>
      </c>
      <c r="C200" s="10" t="s">
        <v>677</v>
      </c>
      <c r="D200" s="1">
        <v>0</v>
      </c>
      <c r="E200" s="1">
        <v>0</v>
      </c>
      <c r="F200" s="1">
        <f t="shared" si="45"/>
        <v>0</v>
      </c>
      <c r="G200" s="1">
        <v>0</v>
      </c>
      <c r="H200" s="1">
        <f t="shared" si="46"/>
        <v>0</v>
      </c>
      <c r="I200" s="1">
        <v>0</v>
      </c>
      <c r="J200" s="1">
        <f t="shared" si="47"/>
        <v>0</v>
      </c>
      <c r="K200" s="1">
        <f t="shared" si="48"/>
        <v>0</v>
      </c>
      <c r="L200" s="1">
        <f t="shared" si="49"/>
        <v>0</v>
      </c>
      <c r="M200" s="10" t="s">
        <v>677</v>
      </c>
      <c r="N200" s="10" t="s">
        <v>677</v>
      </c>
      <c r="O200" s="10" t="s">
        <v>677</v>
      </c>
      <c r="P200" s="10" t="s">
        <v>677</v>
      </c>
      <c r="AU200" s="7"/>
      <c r="AV200" s="28">
        <v>0</v>
      </c>
      <c r="AW200" s="3" t="s">
        <v>677</v>
      </c>
    </row>
    <row r="201" spans="1:49" ht="28.5" customHeight="1" x14ac:dyDescent="0.3">
      <c r="A201" s="10" t="s">
        <v>677</v>
      </c>
      <c r="B201" s="10" t="s">
        <v>677</v>
      </c>
      <c r="C201" s="10" t="s">
        <v>677</v>
      </c>
      <c r="D201" s="1">
        <v>0</v>
      </c>
      <c r="E201" s="1">
        <v>0</v>
      </c>
      <c r="F201" s="1">
        <f t="shared" si="45"/>
        <v>0</v>
      </c>
      <c r="G201" s="1">
        <v>0</v>
      </c>
      <c r="H201" s="1">
        <f t="shared" si="46"/>
        <v>0</v>
      </c>
      <c r="I201" s="1">
        <v>0</v>
      </c>
      <c r="J201" s="1">
        <f t="shared" si="47"/>
        <v>0</v>
      </c>
      <c r="K201" s="1">
        <f t="shared" si="48"/>
        <v>0</v>
      </c>
      <c r="L201" s="1">
        <f t="shared" si="49"/>
        <v>0</v>
      </c>
      <c r="M201" s="10" t="s">
        <v>677</v>
      </c>
      <c r="N201" s="10" t="s">
        <v>677</v>
      </c>
      <c r="O201" s="10" t="s">
        <v>677</v>
      </c>
      <c r="P201" s="10" t="s">
        <v>677</v>
      </c>
      <c r="AU201" s="7"/>
      <c r="AV201" s="28">
        <v>0</v>
      </c>
      <c r="AW201" s="3" t="s">
        <v>677</v>
      </c>
    </row>
    <row r="202" spans="1:49" ht="28.5" customHeight="1" x14ac:dyDescent="0.3">
      <c r="A202" s="10" t="s">
        <v>677</v>
      </c>
      <c r="B202" s="10" t="s">
        <v>677</v>
      </c>
      <c r="C202" s="10" t="s">
        <v>677</v>
      </c>
      <c r="D202" s="1">
        <v>0</v>
      </c>
      <c r="E202" s="1">
        <v>0</v>
      </c>
      <c r="F202" s="1">
        <f t="shared" si="45"/>
        <v>0</v>
      </c>
      <c r="G202" s="1">
        <v>0</v>
      </c>
      <c r="H202" s="1">
        <f t="shared" si="46"/>
        <v>0</v>
      </c>
      <c r="I202" s="1">
        <v>0</v>
      </c>
      <c r="J202" s="1">
        <f t="shared" si="47"/>
        <v>0</v>
      </c>
      <c r="K202" s="1">
        <f t="shared" si="48"/>
        <v>0</v>
      </c>
      <c r="L202" s="1">
        <f t="shared" si="49"/>
        <v>0</v>
      </c>
      <c r="M202" s="10" t="s">
        <v>677</v>
      </c>
      <c r="N202" s="10" t="s">
        <v>677</v>
      </c>
      <c r="O202" s="10" t="s">
        <v>677</v>
      </c>
      <c r="P202" s="10" t="s">
        <v>677</v>
      </c>
      <c r="AU202" s="7"/>
      <c r="AV202" s="28">
        <v>0</v>
      </c>
      <c r="AW202" s="3" t="s">
        <v>677</v>
      </c>
    </row>
    <row r="203" spans="1:49" ht="28.5" customHeight="1" x14ac:dyDescent="0.3">
      <c r="A203" s="10" t="s">
        <v>677</v>
      </c>
      <c r="B203" s="10" t="s">
        <v>677</v>
      </c>
      <c r="C203" s="10" t="s">
        <v>677</v>
      </c>
      <c r="D203" s="1">
        <v>0</v>
      </c>
      <c r="E203" s="1">
        <v>0</v>
      </c>
      <c r="F203" s="1">
        <f t="shared" si="45"/>
        <v>0</v>
      </c>
      <c r="G203" s="1">
        <v>0</v>
      </c>
      <c r="H203" s="1">
        <f t="shared" si="46"/>
        <v>0</v>
      </c>
      <c r="I203" s="1">
        <v>0</v>
      </c>
      <c r="J203" s="1">
        <f t="shared" si="47"/>
        <v>0</v>
      </c>
      <c r="K203" s="1">
        <f t="shared" si="48"/>
        <v>0</v>
      </c>
      <c r="L203" s="1">
        <f t="shared" si="49"/>
        <v>0</v>
      </c>
      <c r="M203" s="10" t="s">
        <v>677</v>
      </c>
      <c r="N203" s="10" t="s">
        <v>677</v>
      </c>
      <c r="O203" s="10" t="s">
        <v>677</v>
      </c>
      <c r="P203" s="10" t="s">
        <v>677</v>
      </c>
      <c r="AU203" s="7"/>
      <c r="AV203" s="28">
        <v>0</v>
      </c>
      <c r="AW203" s="3" t="s">
        <v>677</v>
      </c>
    </row>
    <row r="204" spans="1:49" ht="28.5" customHeight="1" x14ac:dyDescent="0.3">
      <c r="A204" s="10" t="s">
        <v>677</v>
      </c>
      <c r="B204" s="10" t="s">
        <v>677</v>
      </c>
      <c r="C204" s="10" t="s">
        <v>677</v>
      </c>
      <c r="D204" s="1">
        <v>0</v>
      </c>
      <c r="E204" s="1">
        <v>0</v>
      </c>
      <c r="F204" s="1">
        <f t="shared" si="45"/>
        <v>0</v>
      </c>
      <c r="G204" s="1">
        <v>0</v>
      </c>
      <c r="H204" s="1">
        <f t="shared" si="46"/>
        <v>0</v>
      </c>
      <c r="I204" s="1">
        <v>0</v>
      </c>
      <c r="J204" s="1">
        <f t="shared" si="47"/>
        <v>0</v>
      </c>
      <c r="K204" s="1">
        <f t="shared" si="48"/>
        <v>0</v>
      </c>
      <c r="L204" s="1">
        <f t="shared" si="49"/>
        <v>0</v>
      </c>
      <c r="M204" s="10" t="s">
        <v>677</v>
      </c>
      <c r="N204" s="10" t="s">
        <v>677</v>
      </c>
      <c r="O204" s="10" t="s">
        <v>677</v>
      </c>
      <c r="P204" s="10" t="s">
        <v>677</v>
      </c>
      <c r="AU204" s="7"/>
      <c r="AV204" s="28">
        <v>0</v>
      </c>
      <c r="AW204" s="3" t="s">
        <v>677</v>
      </c>
    </row>
    <row r="205" spans="1:49" ht="28.5" customHeight="1" x14ac:dyDescent="0.3">
      <c r="A205" s="10" t="s">
        <v>677</v>
      </c>
      <c r="B205" s="10" t="s">
        <v>677</v>
      </c>
      <c r="C205" s="10" t="s">
        <v>677</v>
      </c>
      <c r="D205" s="1">
        <v>0</v>
      </c>
      <c r="E205" s="1">
        <v>0</v>
      </c>
      <c r="F205" s="1">
        <f t="shared" si="45"/>
        <v>0</v>
      </c>
      <c r="G205" s="1">
        <v>0</v>
      </c>
      <c r="H205" s="1">
        <f t="shared" si="46"/>
        <v>0</v>
      </c>
      <c r="I205" s="1">
        <v>0</v>
      </c>
      <c r="J205" s="1">
        <f t="shared" si="47"/>
        <v>0</v>
      </c>
      <c r="K205" s="1">
        <f t="shared" si="48"/>
        <v>0</v>
      </c>
      <c r="L205" s="1">
        <f t="shared" si="49"/>
        <v>0</v>
      </c>
      <c r="M205" s="10" t="s">
        <v>677</v>
      </c>
      <c r="N205" s="10" t="s">
        <v>677</v>
      </c>
      <c r="O205" s="10" t="s">
        <v>677</v>
      </c>
      <c r="P205" s="10" t="s">
        <v>677</v>
      </c>
      <c r="AU205" s="7"/>
      <c r="AV205" s="28">
        <v>0</v>
      </c>
      <c r="AW205" s="3" t="s">
        <v>677</v>
      </c>
    </row>
    <row r="206" spans="1:49" ht="28.5" customHeight="1" x14ac:dyDescent="0.3">
      <c r="A206" s="10" t="s">
        <v>677</v>
      </c>
      <c r="B206" s="10" t="s">
        <v>677</v>
      </c>
      <c r="C206" s="10" t="s">
        <v>677</v>
      </c>
      <c r="D206" s="1">
        <v>0</v>
      </c>
      <c r="E206" s="1">
        <v>0</v>
      </c>
      <c r="F206" s="1">
        <f t="shared" si="45"/>
        <v>0</v>
      </c>
      <c r="G206" s="1">
        <v>0</v>
      </c>
      <c r="H206" s="1">
        <f t="shared" si="46"/>
        <v>0</v>
      </c>
      <c r="I206" s="1">
        <v>0</v>
      </c>
      <c r="J206" s="1">
        <f t="shared" si="47"/>
        <v>0</v>
      </c>
      <c r="K206" s="1">
        <f t="shared" si="48"/>
        <v>0</v>
      </c>
      <c r="L206" s="1">
        <f t="shared" si="49"/>
        <v>0</v>
      </c>
      <c r="M206" s="10" t="s">
        <v>677</v>
      </c>
      <c r="N206" s="10" t="s">
        <v>677</v>
      </c>
      <c r="O206" s="10" t="s">
        <v>677</v>
      </c>
      <c r="P206" s="10" t="s">
        <v>677</v>
      </c>
      <c r="AU206" s="7"/>
      <c r="AV206" s="28">
        <v>0</v>
      </c>
      <c r="AW206" s="3" t="s">
        <v>677</v>
      </c>
    </row>
    <row r="207" spans="1:49" ht="28.5" customHeight="1" x14ac:dyDescent="0.3">
      <c r="A207" s="10" t="s">
        <v>677</v>
      </c>
      <c r="B207" s="10" t="s">
        <v>677</v>
      </c>
      <c r="C207" s="10" t="s">
        <v>677</v>
      </c>
      <c r="D207" s="1">
        <v>0</v>
      </c>
      <c r="E207" s="1">
        <v>0</v>
      </c>
      <c r="F207" s="1">
        <f t="shared" si="45"/>
        <v>0</v>
      </c>
      <c r="G207" s="1">
        <v>0</v>
      </c>
      <c r="H207" s="1">
        <f t="shared" si="46"/>
        <v>0</v>
      </c>
      <c r="I207" s="1">
        <v>0</v>
      </c>
      <c r="J207" s="1">
        <f t="shared" si="47"/>
        <v>0</v>
      </c>
      <c r="K207" s="1">
        <f t="shared" si="48"/>
        <v>0</v>
      </c>
      <c r="L207" s="1">
        <f t="shared" si="49"/>
        <v>0</v>
      </c>
      <c r="M207" s="10" t="s">
        <v>677</v>
      </c>
      <c r="N207" s="10" t="s">
        <v>677</v>
      </c>
      <c r="O207" s="10" t="s">
        <v>677</v>
      </c>
      <c r="P207" s="10" t="s">
        <v>677</v>
      </c>
      <c r="AU207" s="7"/>
      <c r="AV207" s="28">
        <v>0</v>
      </c>
      <c r="AW207" s="3" t="s">
        <v>677</v>
      </c>
    </row>
    <row r="208" spans="1:49" ht="28.5" customHeight="1" x14ac:dyDescent="0.3">
      <c r="A208" s="10" t="s">
        <v>109</v>
      </c>
      <c r="B208" s="10" t="s">
        <v>677</v>
      </c>
      <c r="C208" s="10" t="s">
        <v>677</v>
      </c>
      <c r="D208" s="10" t="s">
        <v>677</v>
      </c>
      <c r="E208" s="27">
        <v>0</v>
      </c>
      <c r="F208" s="1">
        <f>TRUNC(SUMIF(Q184:Q207, Q183,F184:F207),0)</f>
        <v>0</v>
      </c>
      <c r="G208" s="1">
        <v>0</v>
      </c>
      <c r="H208" s="1">
        <f>TRUNC(SUMIF(Q184:Q207, Q183,H184:H207),0)</f>
        <v>338076</v>
      </c>
      <c r="I208" s="1">
        <v>0</v>
      </c>
      <c r="J208" s="1">
        <f>TRUNC(SUMIF(Q184:Q207, Q183,J184:J207),0)</f>
        <v>1107762</v>
      </c>
      <c r="K208" s="12" t="s">
        <v>677</v>
      </c>
      <c r="L208" s="1">
        <f>F208+H208+J208</f>
        <v>1445838</v>
      </c>
      <c r="M208" s="10"/>
      <c r="AW208" s="10" t="s">
        <v>677</v>
      </c>
    </row>
    <row r="209" spans="1:49" ht="28.5" customHeight="1" x14ac:dyDescent="0.3">
      <c r="A209" s="10" t="s">
        <v>393</v>
      </c>
      <c r="B209" s="10"/>
      <c r="C209" s="10"/>
      <c r="D209" s="10" t="s">
        <v>677</v>
      </c>
      <c r="E209" s="10" t="s">
        <v>677</v>
      </c>
      <c r="F209" s="10" t="s">
        <v>677</v>
      </c>
      <c r="G209" s="10" t="s">
        <v>677</v>
      </c>
      <c r="H209" s="10" t="s">
        <v>677</v>
      </c>
      <c r="I209" s="10" t="s">
        <v>677</v>
      </c>
      <c r="J209" s="10" t="s">
        <v>677</v>
      </c>
      <c r="K209" s="10" t="s">
        <v>677</v>
      </c>
      <c r="L209" s="10" t="s">
        <v>677</v>
      </c>
      <c r="M209" s="10" t="s">
        <v>677</v>
      </c>
      <c r="N209" s="5" t="s">
        <v>677</v>
      </c>
      <c r="Q209" s="7" t="s">
        <v>382</v>
      </c>
      <c r="R209" s="28">
        <v>810000</v>
      </c>
      <c r="S209" s="28">
        <v>0</v>
      </c>
      <c r="AH209" s="7"/>
      <c r="AW209" s="10" t="s">
        <v>677</v>
      </c>
    </row>
    <row r="210" spans="1:49" ht="28.5" customHeight="1" x14ac:dyDescent="0.3">
      <c r="A210" s="10" t="s">
        <v>1065</v>
      </c>
      <c r="B210" s="10" t="s">
        <v>1066</v>
      </c>
      <c r="C210" s="10" t="s">
        <v>1056</v>
      </c>
      <c r="D210" s="22">
        <v>1</v>
      </c>
      <c r="E210" s="1">
        <f>ROUNDDOWN(ROUNDDOWN(단가대비표!U75,0)*AV210/100,0)</f>
        <v>91200000</v>
      </c>
      <c r="F210" s="1">
        <f t="shared" ref="F210:F234" si="55">ROUNDDOWN(D210*E210,0)</f>
        <v>91200000</v>
      </c>
      <c r="G210" s="1">
        <f>ROUNDDOWN(ROUNDDOWN(단가대비표!V34,0)*AV210/100,0)</f>
        <v>0</v>
      </c>
      <c r="H210" s="1">
        <f t="shared" ref="H210:H234" si="56">ROUNDDOWN(D210*G210,0)</f>
        <v>0</v>
      </c>
      <c r="I210" s="1">
        <f>ROUNDDOWN(ROUNDDOWN(단가대비표!AE34,0)*AV210/100,0)</f>
        <v>0</v>
      </c>
      <c r="J210" s="1">
        <f t="shared" ref="J210:J234" si="57">ROUNDDOWN(D210*I210,0)</f>
        <v>0</v>
      </c>
      <c r="K210" s="1">
        <f t="shared" ref="K210:K234" si="58">ROUNDDOWN(E210+G210+I210,0)</f>
        <v>91200000</v>
      </c>
      <c r="L210" s="1">
        <f t="shared" ref="L210:L234" si="59">ROUNDDOWN(F210+H210+J210,0)</f>
        <v>91200000</v>
      </c>
      <c r="M210" s="37" t="s">
        <v>1200</v>
      </c>
      <c r="N210" s="2" t="str">
        <f>HYPERLINK("#단가대비표!B36", "4924159820275805")</f>
        <v>4924159820275805</v>
      </c>
      <c r="O210" s="7" t="s">
        <v>677</v>
      </c>
      <c r="P210" s="7" t="s">
        <v>677</v>
      </c>
      <c r="Q210" s="7" t="s">
        <v>382</v>
      </c>
      <c r="R210" s="28">
        <v>810000</v>
      </c>
      <c r="S210" s="28">
        <v>20</v>
      </c>
      <c r="T210" s="7" t="s">
        <v>399</v>
      </c>
      <c r="U210" s="7" t="s">
        <v>399</v>
      </c>
      <c r="V210" s="7" t="s">
        <v>731</v>
      </c>
      <c r="W210" s="7" t="s">
        <v>677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61</v>
      </c>
      <c r="AJ210" s="28">
        <v>0</v>
      </c>
      <c r="AK210" s="28">
        <v>0</v>
      </c>
      <c r="AL210" s="28">
        <v>0</v>
      </c>
      <c r="AM210" s="28">
        <v>0</v>
      </c>
      <c r="AN210" s="28">
        <v>0</v>
      </c>
      <c r="AO210" s="28">
        <v>0</v>
      </c>
      <c r="AP210" s="28">
        <v>0</v>
      </c>
      <c r="AQ210" s="28">
        <v>0</v>
      </c>
      <c r="AR210" s="28">
        <v>0</v>
      </c>
      <c r="AS210" s="28">
        <v>0</v>
      </c>
      <c r="AT210" s="28">
        <v>0</v>
      </c>
      <c r="AU210" s="7" t="s">
        <v>677</v>
      </c>
      <c r="AV210" s="28">
        <v>100</v>
      </c>
      <c r="AW210" s="3" t="s">
        <v>1104</v>
      </c>
    </row>
    <row r="211" spans="1:49" ht="28.5" customHeight="1" x14ac:dyDescent="0.3">
      <c r="A211" s="10" t="s">
        <v>1068</v>
      </c>
      <c r="B211" s="10" t="s">
        <v>1067</v>
      </c>
      <c r="C211" s="10" t="s">
        <v>1056</v>
      </c>
      <c r="D211" s="22">
        <v>1</v>
      </c>
      <c r="E211" s="1">
        <f>ROUNDDOWN(ROUNDDOWN(단가대비표!U76,0)*AV211/100,0)</f>
        <v>38500000</v>
      </c>
      <c r="F211" s="1">
        <f t="shared" ref="F211" si="60">ROUNDDOWN(D211*E211,0)</f>
        <v>38500000</v>
      </c>
      <c r="G211" s="1">
        <f>ROUNDDOWN(ROUNDDOWN(단가대비표!V35,0)*AV211/100,0)</f>
        <v>0</v>
      </c>
      <c r="H211" s="1">
        <f t="shared" ref="H211" si="61">ROUNDDOWN(D211*G211,0)</f>
        <v>0</v>
      </c>
      <c r="I211" s="1">
        <f>ROUNDDOWN(ROUNDDOWN(단가대비표!AE35,0)*AV211/100,0)</f>
        <v>0</v>
      </c>
      <c r="J211" s="1">
        <f t="shared" ref="J211" si="62">ROUNDDOWN(D211*I211,0)</f>
        <v>0</v>
      </c>
      <c r="K211" s="1">
        <f t="shared" ref="K211" si="63">ROUNDDOWN(E211+G211+I211,0)</f>
        <v>38500000</v>
      </c>
      <c r="L211" s="1">
        <f t="shared" ref="L211" si="64">ROUNDDOWN(F211+H211+J211,0)</f>
        <v>38500000</v>
      </c>
      <c r="M211" s="37" t="s">
        <v>1201</v>
      </c>
      <c r="N211" s="2" t="str">
        <f>HYPERLINK("#단가대비표!B36", "4924159820275805")</f>
        <v>4924159820275805</v>
      </c>
      <c r="O211" s="7" t="s">
        <v>677</v>
      </c>
      <c r="P211" s="7" t="s">
        <v>677</v>
      </c>
      <c r="Q211" s="7" t="s">
        <v>382</v>
      </c>
      <c r="R211" s="28">
        <v>810000</v>
      </c>
      <c r="S211" s="28">
        <v>20</v>
      </c>
      <c r="T211" s="7" t="s">
        <v>399</v>
      </c>
      <c r="U211" s="7" t="s">
        <v>399</v>
      </c>
      <c r="V211" s="7" t="s">
        <v>731</v>
      </c>
      <c r="W211" s="7" t="s">
        <v>677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>
        <v>0</v>
      </c>
      <c r="AG211" s="28">
        <v>0</v>
      </c>
      <c r="AH211" s="28">
        <v>0</v>
      </c>
      <c r="AI211" s="28">
        <v>61</v>
      </c>
      <c r="AJ211" s="28">
        <v>0</v>
      </c>
      <c r="AK211" s="28">
        <v>0</v>
      </c>
      <c r="AL211" s="28">
        <v>0</v>
      </c>
      <c r="AM211" s="28">
        <v>0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  <c r="AS211" s="28">
        <v>0</v>
      </c>
      <c r="AT211" s="28">
        <v>0</v>
      </c>
      <c r="AU211" s="7" t="s">
        <v>677</v>
      </c>
      <c r="AV211" s="28">
        <v>100</v>
      </c>
      <c r="AW211" s="3" t="s">
        <v>1102</v>
      </c>
    </row>
    <row r="212" spans="1:49" ht="28.5" customHeight="1" x14ac:dyDescent="0.3">
      <c r="A212" s="10" t="s">
        <v>1281</v>
      </c>
      <c r="B212" s="10" t="s">
        <v>1055</v>
      </c>
      <c r="C212" s="10" t="s">
        <v>1059</v>
      </c>
      <c r="D212" s="22">
        <v>2</v>
      </c>
      <c r="E212" s="1">
        <f>ROUNDDOWN(ROUNDDOWN(단가대비표!U71,0)*AV212/100,0)</f>
        <v>640000</v>
      </c>
      <c r="F212" s="1">
        <f>ROUNDDOWN(D212*E212,0)</f>
        <v>1280000</v>
      </c>
      <c r="G212" s="1">
        <f>ROUNDDOWN(ROUNDDOWN(단가대비표!V71,0)*AV212/100,0)</f>
        <v>0</v>
      </c>
      <c r="H212" s="1">
        <f>ROUNDDOWN(D212*G212,0)</f>
        <v>0</v>
      </c>
      <c r="I212" s="1">
        <f>ROUNDDOWN(ROUNDDOWN(단가대비표!AE71,0)*AV212/100,0)</f>
        <v>0</v>
      </c>
      <c r="J212" s="1">
        <f>ROUNDDOWN(D212*I212,0)</f>
        <v>0</v>
      </c>
      <c r="K212" s="1">
        <f>ROUNDDOWN(E212+G212+I212,0)</f>
        <v>640000</v>
      </c>
      <c r="L212" s="1">
        <f>ROUNDDOWN(F212+H212+J212,0)</f>
        <v>1280000</v>
      </c>
      <c r="M212" s="37" t="s">
        <v>1199</v>
      </c>
      <c r="N212" s="2" t="str">
        <f>HYPERLINK("#단가대비표!B17", "3011150521001750")</f>
        <v>3011150521001750</v>
      </c>
      <c r="O212" s="7" t="s">
        <v>677</v>
      </c>
      <c r="P212" s="7" t="s">
        <v>677</v>
      </c>
      <c r="Q212" s="7" t="s">
        <v>382</v>
      </c>
      <c r="R212" s="28">
        <v>300000</v>
      </c>
      <c r="S212" s="28">
        <v>45</v>
      </c>
      <c r="T212" s="7" t="s">
        <v>399</v>
      </c>
      <c r="U212" s="7" t="s">
        <v>399</v>
      </c>
      <c r="V212" s="7" t="s">
        <v>731</v>
      </c>
      <c r="W212" s="7" t="s">
        <v>677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8">
        <v>0</v>
      </c>
      <c r="AH212" s="28">
        <v>0</v>
      </c>
      <c r="AI212" s="28">
        <v>3</v>
      </c>
      <c r="AJ212" s="28">
        <v>0</v>
      </c>
      <c r="AK212" s="28">
        <v>0</v>
      </c>
      <c r="AL212" s="28">
        <v>0</v>
      </c>
      <c r="AM212" s="28">
        <v>0</v>
      </c>
      <c r="AN212" s="28">
        <v>0</v>
      </c>
      <c r="AO212" s="28">
        <v>0</v>
      </c>
      <c r="AP212" s="28">
        <v>0</v>
      </c>
      <c r="AQ212" s="28">
        <v>0</v>
      </c>
      <c r="AR212" s="28">
        <v>0</v>
      </c>
      <c r="AS212" s="28">
        <v>0</v>
      </c>
      <c r="AT212" s="28">
        <v>0</v>
      </c>
      <c r="AU212" s="7" t="s">
        <v>677</v>
      </c>
      <c r="AV212" s="28">
        <v>100</v>
      </c>
      <c r="AW212" s="3" t="s">
        <v>1105</v>
      </c>
    </row>
    <row r="213" spans="1:49" ht="28.5" customHeight="1" x14ac:dyDescent="0.3">
      <c r="A213" s="10" t="s">
        <v>1282</v>
      </c>
      <c r="B213" s="10" t="s">
        <v>1055</v>
      </c>
      <c r="C213" s="10" t="s">
        <v>1059</v>
      </c>
      <c r="D213" s="22">
        <v>2</v>
      </c>
      <c r="E213" s="1">
        <f>ROUNDDOWN(ROUNDDOWN(단가대비표!U94,0)*AV213/100,0)</f>
        <v>990000</v>
      </c>
      <c r="F213" s="1">
        <f>ROUNDDOWN(D213*E213,0)</f>
        <v>1980000</v>
      </c>
      <c r="G213" s="1">
        <f>ROUNDDOWN(ROUNDDOWN(단가대비표!V94,0)*AV213/100,0)</f>
        <v>0</v>
      </c>
      <c r="H213" s="1">
        <f>ROUNDDOWN(D213*G213,0)</f>
        <v>0</v>
      </c>
      <c r="I213" s="1">
        <f>ROUNDDOWN(ROUNDDOWN(단가대비표!AE94,0)*AV213/100,0)</f>
        <v>0</v>
      </c>
      <c r="J213" s="1">
        <f>ROUNDDOWN(D213*I213,0)</f>
        <v>0</v>
      </c>
      <c r="K213" s="1">
        <f>ROUNDDOWN(E213+G213+I213,0)</f>
        <v>990000</v>
      </c>
      <c r="L213" s="1">
        <f>ROUNDDOWN(F213+H213+J213,0)</f>
        <v>1980000</v>
      </c>
      <c r="M213" s="37" t="s">
        <v>1278</v>
      </c>
      <c r="N213" s="2" t="str">
        <f>HYPERLINK("#단가대비표!B17", "3011150521001750")</f>
        <v>3011150521001750</v>
      </c>
      <c r="O213" s="7" t="s">
        <v>677</v>
      </c>
      <c r="P213" s="7" t="s">
        <v>677</v>
      </c>
      <c r="Q213" s="7" t="s">
        <v>382</v>
      </c>
      <c r="R213" s="28">
        <v>300000</v>
      </c>
      <c r="S213" s="28">
        <v>45</v>
      </c>
      <c r="T213" s="7" t="s">
        <v>399</v>
      </c>
      <c r="U213" s="7" t="s">
        <v>399</v>
      </c>
      <c r="V213" s="7" t="s">
        <v>731</v>
      </c>
      <c r="W213" s="7" t="s">
        <v>677</v>
      </c>
      <c r="X213" s="28">
        <v>0</v>
      </c>
      <c r="Y213" s="28">
        <v>0</v>
      </c>
      <c r="Z213" s="28">
        <v>0</v>
      </c>
      <c r="AA213" s="28">
        <v>0</v>
      </c>
      <c r="AB213" s="28">
        <v>0</v>
      </c>
      <c r="AC213" s="28">
        <v>0</v>
      </c>
      <c r="AD213" s="28">
        <v>0</v>
      </c>
      <c r="AE213" s="28">
        <v>0</v>
      </c>
      <c r="AF213" s="28">
        <v>0</v>
      </c>
      <c r="AG213" s="28">
        <v>0</v>
      </c>
      <c r="AH213" s="28">
        <v>0</v>
      </c>
      <c r="AI213" s="28">
        <v>3</v>
      </c>
      <c r="AJ213" s="28">
        <v>0</v>
      </c>
      <c r="AK213" s="28">
        <v>0</v>
      </c>
      <c r="AL213" s="28">
        <v>0</v>
      </c>
      <c r="AM213" s="28">
        <v>0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  <c r="AS213" s="28">
        <v>0</v>
      </c>
      <c r="AT213" s="28">
        <v>0</v>
      </c>
      <c r="AU213" s="7" t="s">
        <v>677</v>
      </c>
      <c r="AV213" s="28">
        <v>100</v>
      </c>
      <c r="AW213" s="3" t="s">
        <v>1277</v>
      </c>
    </row>
    <row r="214" spans="1:49" ht="28.5" customHeight="1" x14ac:dyDescent="0.3">
      <c r="A214" s="10" t="s">
        <v>1057</v>
      </c>
      <c r="B214" s="10" t="s">
        <v>1060</v>
      </c>
      <c r="C214" s="10" t="s">
        <v>1059</v>
      </c>
      <c r="D214" s="22">
        <v>4</v>
      </c>
      <c r="E214" s="1">
        <f>ROUNDDOWN(ROUNDDOWN(단가대비표!U72,0)*AV214/100,0)</f>
        <v>224000</v>
      </c>
      <c r="F214" s="1">
        <f t="shared" ref="F214" si="65">ROUNDDOWN(D214*E214,0)</f>
        <v>896000</v>
      </c>
      <c r="G214" s="1">
        <f>ROUNDDOWN(ROUNDDOWN(단가대비표!V72,0)*AV214/100,0)</f>
        <v>0</v>
      </c>
      <c r="H214" s="1">
        <f t="shared" ref="H214" si="66">ROUNDDOWN(D214*G214,0)</f>
        <v>0</v>
      </c>
      <c r="I214" s="1">
        <f>ROUNDDOWN(ROUNDDOWN(단가대비표!AE72,0)*AV214/100,0)</f>
        <v>0</v>
      </c>
      <c r="J214" s="1">
        <f t="shared" ref="J214" si="67">ROUNDDOWN(D214*I214,0)</f>
        <v>0</v>
      </c>
      <c r="K214" s="1">
        <f t="shared" ref="K214" si="68">ROUNDDOWN(E214+G214+I214,0)</f>
        <v>224000</v>
      </c>
      <c r="L214" s="1">
        <f t="shared" ref="L214" si="69">ROUNDDOWN(F214+H214+J214,0)</f>
        <v>896000</v>
      </c>
      <c r="M214" s="37" t="s">
        <v>1202</v>
      </c>
      <c r="N214" s="2" t="str">
        <f>HYPERLINK("#단가대비표!B17", "3011150521001750")</f>
        <v>3011150521001750</v>
      </c>
      <c r="O214" s="7" t="s">
        <v>677</v>
      </c>
      <c r="P214" s="7" t="s">
        <v>677</v>
      </c>
      <c r="Q214" s="7" t="s">
        <v>382</v>
      </c>
      <c r="R214" s="28">
        <v>300000</v>
      </c>
      <c r="S214" s="28">
        <v>45</v>
      </c>
      <c r="T214" s="7" t="s">
        <v>399</v>
      </c>
      <c r="U214" s="7" t="s">
        <v>399</v>
      </c>
      <c r="V214" s="7" t="s">
        <v>731</v>
      </c>
      <c r="W214" s="7" t="s">
        <v>677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8">
        <v>0</v>
      </c>
      <c r="AH214" s="28">
        <v>0</v>
      </c>
      <c r="AI214" s="28">
        <v>3</v>
      </c>
      <c r="AJ214" s="28">
        <v>0</v>
      </c>
      <c r="AK214" s="28">
        <v>0</v>
      </c>
      <c r="AL214" s="28">
        <v>0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28">
        <v>0</v>
      </c>
      <c r="AT214" s="28">
        <v>0</v>
      </c>
      <c r="AU214" s="7" t="s">
        <v>677</v>
      </c>
      <c r="AV214" s="28">
        <v>100</v>
      </c>
      <c r="AW214" s="3" t="s">
        <v>1098</v>
      </c>
    </row>
    <row r="215" spans="1:49" ht="28.5" customHeight="1" x14ac:dyDescent="0.3">
      <c r="A215" s="10" t="s">
        <v>1063</v>
      </c>
      <c r="B215" s="10" t="s">
        <v>1064</v>
      </c>
      <c r="C215" s="10" t="s">
        <v>1059</v>
      </c>
      <c r="D215" s="22">
        <v>16</v>
      </c>
      <c r="E215" s="1">
        <f>ROUNDDOWN(ROUNDDOWN(단가대비표!U74,0)*AV215/100,0)</f>
        <v>520000</v>
      </c>
      <c r="F215" s="1">
        <f>ROUNDDOWN(D215*E215,0)</f>
        <v>8320000</v>
      </c>
      <c r="G215" s="1">
        <f>ROUNDDOWN(ROUNDDOWN(단가대비표!V74,0)*AV215/100,0)</f>
        <v>0</v>
      </c>
      <c r="H215" s="1">
        <f>ROUNDDOWN(D215*G215,0)</f>
        <v>0</v>
      </c>
      <c r="I215" s="1">
        <f>ROUNDDOWN(ROUNDDOWN(단가대비표!AE74,0)*AV215/100,0)</f>
        <v>0</v>
      </c>
      <c r="J215" s="1">
        <f>ROUNDDOWN(D215*I215,0)</f>
        <v>0</v>
      </c>
      <c r="K215" s="1">
        <f>ROUNDDOWN(E215+G215+I215,0)</f>
        <v>520000</v>
      </c>
      <c r="L215" s="1">
        <f>ROUNDDOWN(F215+H215+J215,0)</f>
        <v>8320000</v>
      </c>
      <c r="M215" s="37" t="s">
        <v>1198</v>
      </c>
      <c r="N215" s="2" t="str">
        <f>HYPERLINK("#단가대비표!B17", "3011150521001750")</f>
        <v>3011150521001750</v>
      </c>
      <c r="O215" s="7" t="s">
        <v>677</v>
      </c>
      <c r="P215" s="7" t="s">
        <v>677</v>
      </c>
      <c r="Q215" s="7" t="s">
        <v>382</v>
      </c>
      <c r="R215" s="28">
        <v>300000</v>
      </c>
      <c r="S215" s="28">
        <v>45</v>
      </c>
      <c r="T215" s="7" t="s">
        <v>399</v>
      </c>
      <c r="U215" s="7" t="s">
        <v>399</v>
      </c>
      <c r="V215" s="7" t="s">
        <v>731</v>
      </c>
      <c r="W215" s="7" t="s">
        <v>677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>
        <v>0</v>
      </c>
      <c r="AG215" s="28">
        <v>0</v>
      </c>
      <c r="AH215" s="28">
        <v>0</v>
      </c>
      <c r="AI215" s="28">
        <v>3</v>
      </c>
      <c r="AJ215" s="28">
        <v>0</v>
      </c>
      <c r="AK215" s="28">
        <v>0</v>
      </c>
      <c r="AL215" s="28">
        <v>0</v>
      </c>
      <c r="AM215" s="28">
        <v>0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  <c r="AS215" s="28">
        <v>0</v>
      </c>
      <c r="AT215" s="28">
        <v>0</v>
      </c>
      <c r="AU215" s="7" t="s">
        <v>677</v>
      </c>
      <c r="AV215" s="28">
        <v>100</v>
      </c>
      <c r="AW215" s="3" t="s">
        <v>1106</v>
      </c>
    </row>
    <row r="216" spans="1:49" ht="28.5" customHeight="1" x14ac:dyDescent="0.3">
      <c r="A216" s="10" t="s">
        <v>1108</v>
      </c>
      <c r="B216" s="10" t="s">
        <v>1061</v>
      </c>
      <c r="C216" s="10" t="s">
        <v>1050</v>
      </c>
      <c r="D216" s="22">
        <v>9</v>
      </c>
      <c r="E216" s="1">
        <f>ROUNDDOWN(ROUNDDOWN(단가대비표!U73,0)*AV216/100,0)</f>
        <v>265000</v>
      </c>
      <c r="F216" s="1">
        <f t="shared" ref="F216" si="70">ROUNDDOWN(D216*E216,0)</f>
        <v>2385000</v>
      </c>
      <c r="G216" s="1">
        <f>ROUNDDOWN(ROUNDDOWN(단가대비표!V35,0)*AV216/100,0)</f>
        <v>0</v>
      </c>
      <c r="H216" s="1">
        <f>ROUNDDOWN(D216*G216,0)</f>
        <v>0</v>
      </c>
      <c r="I216" s="1">
        <f>ROUNDDOWN(ROUNDDOWN(단가대비표!AE73,0)*AV216/100,0)</f>
        <v>0</v>
      </c>
      <c r="J216" s="1">
        <f>ROUNDDOWN(D216*I216,0)</f>
        <v>0</v>
      </c>
      <c r="K216" s="1">
        <f>ROUNDDOWN(E216+G216+I216,0)</f>
        <v>265000</v>
      </c>
      <c r="L216" s="1">
        <f>ROUNDDOWN(F216+H216+J216,0)</f>
        <v>2385000</v>
      </c>
      <c r="M216" s="37" t="s">
        <v>1280</v>
      </c>
      <c r="N216" s="2" t="str">
        <f>HYPERLINK("#단가대비표!B16", "3011150521001722")</f>
        <v>3011150521001722</v>
      </c>
      <c r="O216" s="7" t="s">
        <v>677</v>
      </c>
      <c r="P216" s="7" t="s">
        <v>677</v>
      </c>
      <c r="Q216" s="7" t="s">
        <v>382</v>
      </c>
      <c r="R216" s="28">
        <v>600000</v>
      </c>
      <c r="S216" s="28">
        <v>15</v>
      </c>
      <c r="T216" s="7" t="s">
        <v>399</v>
      </c>
      <c r="U216" s="7" t="s">
        <v>399</v>
      </c>
      <c r="V216" s="7" t="s">
        <v>731</v>
      </c>
      <c r="W216" s="7" t="s">
        <v>677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0</v>
      </c>
      <c r="AG216" s="28">
        <v>0</v>
      </c>
      <c r="AH216" s="28">
        <v>0</v>
      </c>
      <c r="AI216" s="28">
        <v>6</v>
      </c>
      <c r="AJ216" s="28">
        <v>0</v>
      </c>
      <c r="AK216" s="28">
        <v>0</v>
      </c>
      <c r="AL216" s="28">
        <v>0</v>
      </c>
      <c r="AM216" s="28">
        <v>0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  <c r="AT216" s="28">
        <v>0</v>
      </c>
      <c r="AU216" s="7" t="s">
        <v>677</v>
      </c>
      <c r="AV216" s="28">
        <v>100</v>
      </c>
      <c r="AW216" s="3" t="s">
        <v>1107</v>
      </c>
    </row>
    <row r="217" spans="1:49" ht="28.5" customHeight="1" x14ac:dyDescent="0.3">
      <c r="A217" s="10" t="s">
        <v>1152</v>
      </c>
      <c r="B217" s="10" t="s">
        <v>1153</v>
      </c>
      <c r="C217" s="10" t="s">
        <v>1052</v>
      </c>
      <c r="D217" s="1">
        <v>1</v>
      </c>
      <c r="E217" s="1">
        <f>TRUNC((F210+F211+F212+F213+F214+F215+F216)*0.0054,-3)</f>
        <v>780000</v>
      </c>
      <c r="F217" s="1">
        <f t="shared" si="55"/>
        <v>780000</v>
      </c>
      <c r="G217" s="1">
        <v>0</v>
      </c>
      <c r="H217" s="1">
        <f t="shared" si="56"/>
        <v>0</v>
      </c>
      <c r="I217" s="1">
        <v>0</v>
      </c>
      <c r="J217" s="1">
        <f t="shared" si="57"/>
        <v>0</v>
      </c>
      <c r="K217" s="1">
        <f t="shared" si="58"/>
        <v>780000</v>
      </c>
      <c r="L217" s="1">
        <f t="shared" si="59"/>
        <v>780000</v>
      </c>
      <c r="M217" s="10" t="s">
        <v>677</v>
      </c>
      <c r="N217" s="10" t="s">
        <v>677</v>
      </c>
      <c r="O217" s="10" t="s">
        <v>677</v>
      </c>
      <c r="P217" s="10" t="s">
        <v>677</v>
      </c>
      <c r="Q217" s="7" t="s">
        <v>382</v>
      </c>
      <c r="AU217" s="7"/>
      <c r="AV217" s="28">
        <v>0</v>
      </c>
      <c r="AW217" s="3" t="s">
        <v>677</v>
      </c>
    </row>
    <row r="218" spans="1:49" ht="28.5" customHeight="1" x14ac:dyDescent="0.3">
      <c r="A218" s="10"/>
      <c r="B218" s="10"/>
      <c r="C218" s="10"/>
      <c r="D218" s="1"/>
      <c r="E218" s="1"/>
      <c r="F218" s="1">
        <f t="shared" si="55"/>
        <v>0</v>
      </c>
      <c r="G218" s="1">
        <v>0</v>
      </c>
      <c r="H218" s="1">
        <f t="shared" si="56"/>
        <v>0</v>
      </c>
      <c r="I218" s="1">
        <v>0</v>
      </c>
      <c r="J218" s="1">
        <f t="shared" si="57"/>
        <v>0</v>
      </c>
      <c r="K218" s="1">
        <f t="shared" si="58"/>
        <v>0</v>
      </c>
      <c r="L218" s="1">
        <f t="shared" si="59"/>
        <v>0</v>
      </c>
      <c r="M218" s="10" t="s">
        <v>677</v>
      </c>
      <c r="N218" s="10" t="s">
        <v>677</v>
      </c>
      <c r="O218" s="10" t="s">
        <v>677</v>
      </c>
      <c r="P218" s="10" t="s">
        <v>677</v>
      </c>
      <c r="AU218" s="7"/>
      <c r="AV218" s="28">
        <v>0</v>
      </c>
      <c r="AW218" s="3" t="s">
        <v>677</v>
      </c>
    </row>
    <row r="219" spans="1:49" ht="28.5" customHeight="1" x14ac:dyDescent="0.3">
      <c r="A219" s="10" t="s">
        <v>677</v>
      </c>
      <c r="B219" s="10" t="s">
        <v>677</v>
      </c>
      <c r="C219" s="10" t="s">
        <v>677</v>
      </c>
      <c r="D219" s="1">
        <v>0</v>
      </c>
      <c r="E219" s="1">
        <v>0</v>
      </c>
      <c r="F219" s="1">
        <f t="shared" si="55"/>
        <v>0</v>
      </c>
      <c r="G219" s="1">
        <v>0</v>
      </c>
      <c r="H219" s="1">
        <f t="shared" si="56"/>
        <v>0</v>
      </c>
      <c r="I219" s="1">
        <v>0</v>
      </c>
      <c r="J219" s="1">
        <f t="shared" si="57"/>
        <v>0</v>
      </c>
      <c r="K219" s="1">
        <f t="shared" si="58"/>
        <v>0</v>
      </c>
      <c r="L219" s="1">
        <f t="shared" si="59"/>
        <v>0</v>
      </c>
      <c r="M219" s="10" t="s">
        <v>677</v>
      </c>
      <c r="N219" s="10" t="s">
        <v>677</v>
      </c>
      <c r="O219" s="10" t="s">
        <v>677</v>
      </c>
      <c r="P219" s="10" t="s">
        <v>677</v>
      </c>
      <c r="AU219" s="7"/>
      <c r="AV219" s="28">
        <v>0</v>
      </c>
      <c r="AW219" s="3" t="s">
        <v>677</v>
      </c>
    </row>
    <row r="220" spans="1:49" ht="28.5" customHeight="1" x14ac:dyDescent="0.3">
      <c r="A220" s="10" t="s">
        <v>677</v>
      </c>
      <c r="B220" s="10" t="s">
        <v>677</v>
      </c>
      <c r="C220" s="10" t="s">
        <v>677</v>
      </c>
      <c r="D220" s="1">
        <v>0</v>
      </c>
      <c r="E220" s="1">
        <v>0</v>
      </c>
      <c r="F220" s="1">
        <f t="shared" si="55"/>
        <v>0</v>
      </c>
      <c r="G220" s="1">
        <v>0</v>
      </c>
      <c r="H220" s="1">
        <f t="shared" si="56"/>
        <v>0</v>
      </c>
      <c r="I220" s="1">
        <v>0</v>
      </c>
      <c r="J220" s="1">
        <f t="shared" si="57"/>
        <v>0</v>
      </c>
      <c r="K220" s="1">
        <f t="shared" si="58"/>
        <v>0</v>
      </c>
      <c r="L220" s="1">
        <f t="shared" si="59"/>
        <v>0</v>
      </c>
      <c r="M220" s="10" t="s">
        <v>677</v>
      </c>
      <c r="N220" s="10" t="s">
        <v>677</v>
      </c>
      <c r="O220" s="10" t="s">
        <v>677</v>
      </c>
      <c r="P220" s="10" t="s">
        <v>677</v>
      </c>
      <c r="AU220" s="7"/>
      <c r="AV220" s="28">
        <v>0</v>
      </c>
      <c r="AW220" s="3" t="s">
        <v>677</v>
      </c>
    </row>
    <row r="221" spans="1:49" ht="28.5" customHeight="1" x14ac:dyDescent="0.3">
      <c r="A221" s="10" t="s">
        <v>677</v>
      </c>
      <c r="B221" s="10" t="s">
        <v>677</v>
      </c>
      <c r="C221" s="10" t="s">
        <v>677</v>
      </c>
      <c r="D221" s="1">
        <v>0</v>
      </c>
      <c r="E221" s="1">
        <v>0</v>
      </c>
      <c r="F221" s="1">
        <f t="shared" si="55"/>
        <v>0</v>
      </c>
      <c r="G221" s="1">
        <v>0</v>
      </c>
      <c r="H221" s="1">
        <f t="shared" si="56"/>
        <v>0</v>
      </c>
      <c r="I221" s="1">
        <v>0</v>
      </c>
      <c r="J221" s="1">
        <f t="shared" si="57"/>
        <v>0</v>
      </c>
      <c r="K221" s="1">
        <f t="shared" si="58"/>
        <v>0</v>
      </c>
      <c r="L221" s="1">
        <f t="shared" si="59"/>
        <v>0</v>
      </c>
      <c r="M221" s="10" t="s">
        <v>677</v>
      </c>
      <c r="N221" s="10" t="s">
        <v>677</v>
      </c>
      <c r="O221" s="10" t="s">
        <v>677</v>
      </c>
      <c r="P221" s="10" t="s">
        <v>677</v>
      </c>
      <c r="AU221" s="7"/>
      <c r="AV221" s="28">
        <v>0</v>
      </c>
      <c r="AW221" s="3" t="s">
        <v>677</v>
      </c>
    </row>
    <row r="222" spans="1:49" ht="28.5" customHeight="1" x14ac:dyDescent="0.3">
      <c r="A222" s="10" t="s">
        <v>677</v>
      </c>
      <c r="B222" s="10" t="s">
        <v>677</v>
      </c>
      <c r="C222" s="10" t="s">
        <v>677</v>
      </c>
      <c r="D222" s="1">
        <v>0</v>
      </c>
      <c r="E222" s="1">
        <v>0</v>
      </c>
      <c r="F222" s="1">
        <f t="shared" si="55"/>
        <v>0</v>
      </c>
      <c r="G222" s="1">
        <v>0</v>
      </c>
      <c r="H222" s="1">
        <f t="shared" si="56"/>
        <v>0</v>
      </c>
      <c r="I222" s="1">
        <v>0</v>
      </c>
      <c r="J222" s="1">
        <f t="shared" si="57"/>
        <v>0</v>
      </c>
      <c r="K222" s="1">
        <f t="shared" si="58"/>
        <v>0</v>
      </c>
      <c r="L222" s="1">
        <f t="shared" si="59"/>
        <v>0</v>
      </c>
      <c r="M222" s="10" t="s">
        <v>677</v>
      </c>
      <c r="N222" s="10" t="s">
        <v>677</v>
      </c>
      <c r="O222" s="10" t="s">
        <v>677</v>
      </c>
      <c r="P222" s="10" t="s">
        <v>677</v>
      </c>
      <c r="AU222" s="7"/>
      <c r="AV222" s="28">
        <v>0</v>
      </c>
      <c r="AW222" s="3" t="s">
        <v>677</v>
      </c>
    </row>
    <row r="223" spans="1:49" ht="28.5" customHeight="1" x14ac:dyDescent="0.3">
      <c r="A223" s="10" t="s">
        <v>677</v>
      </c>
      <c r="B223" s="10" t="s">
        <v>677</v>
      </c>
      <c r="C223" s="10" t="s">
        <v>677</v>
      </c>
      <c r="D223" s="1">
        <v>0</v>
      </c>
      <c r="E223" s="1">
        <v>0</v>
      </c>
      <c r="F223" s="1">
        <f t="shared" si="55"/>
        <v>0</v>
      </c>
      <c r="G223" s="1">
        <v>0</v>
      </c>
      <c r="H223" s="1">
        <f t="shared" si="56"/>
        <v>0</v>
      </c>
      <c r="I223" s="1">
        <v>0</v>
      </c>
      <c r="J223" s="1">
        <f t="shared" si="57"/>
        <v>0</v>
      </c>
      <c r="K223" s="1">
        <f t="shared" si="58"/>
        <v>0</v>
      </c>
      <c r="L223" s="1">
        <f t="shared" si="59"/>
        <v>0</v>
      </c>
      <c r="M223" s="10" t="s">
        <v>677</v>
      </c>
      <c r="N223" s="10" t="s">
        <v>677</v>
      </c>
      <c r="O223" s="10" t="s">
        <v>677</v>
      </c>
      <c r="P223" s="10" t="s">
        <v>677</v>
      </c>
      <c r="AU223" s="7"/>
      <c r="AV223" s="28">
        <v>0</v>
      </c>
      <c r="AW223" s="3" t="s">
        <v>677</v>
      </c>
    </row>
    <row r="224" spans="1:49" ht="28.5" customHeight="1" x14ac:dyDescent="0.3">
      <c r="A224" s="10" t="s">
        <v>677</v>
      </c>
      <c r="B224" s="10" t="s">
        <v>677</v>
      </c>
      <c r="C224" s="10" t="s">
        <v>677</v>
      </c>
      <c r="D224" s="1">
        <v>0</v>
      </c>
      <c r="E224" s="1">
        <v>0</v>
      </c>
      <c r="F224" s="1">
        <f t="shared" si="55"/>
        <v>0</v>
      </c>
      <c r="G224" s="1">
        <v>0</v>
      </c>
      <c r="H224" s="1">
        <f t="shared" si="56"/>
        <v>0</v>
      </c>
      <c r="I224" s="1">
        <v>0</v>
      </c>
      <c r="J224" s="1">
        <f t="shared" si="57"/>
        <v>0</v>
      </c>
      <c r="K224" s="1">
        <f t="shared" si="58"/>
        <v>0</v>
      </c>
      <c r="L224" s="1">
        <f t="shared" si="59"/>
        <v>0</v>
      </c>
      <c r="M224" s="10" t="s">
        <v>677</v>
      </c>
      <c r="N224" s="10" t="s">
        <v>677</v>
      </c>
      <c r="O224" s="10" t="s">
        <v>677</v>
      </c>
      <c r="P224" s="10" t="s">
        <v>677</v>
      </c>
      <c r="AU224" s="7"/>
      <c r="AV224" s="28">
        <v>0</v>
      </c>
      <c r="AW224" s="3" t="s">
        <v>677</v>
      </c>
    </row>
    <row r="225" spans="1:49" ht="28.5" customHeight="1" x14ac:dyDescent="0.3">
      <c r="A225" s="10" t="s">
        <v>677</v>
      </c>
      <c r="B225" s="10" t="s">
        <v>677</v>
      </c>
      <c r="C225" s="10" t="s">
        <v>677</v>
      </c>
      <c r="D225" s="1">
        <v>0</v>
      </c>
      <c r="E225" s="1">
        <v>0</v>
      </c>
      <c r="F225" s="1">
        <f t="shared" si="55"/>
        <v>0</v>
      </c>
      <c r="G225" s="1">
        <v>0</v>
      </c>
      <c r="H225" s="1">
        <f t="shared" si="56"/>
        <v>0</v>
      </c>
      <c r="I225" s="1">
        <v>0</v>
      </c>
      <c r="J225" s="1">
        <f t="shared" si="57"/>
        <v>0</v>
      </c>
      <c r="K225" s="1">
        <f t="shared" si="58"/>
        <v>0</v>
      </c>
      <c r="L225" s="1">
        <f t="shared" si="59"/>
        <v>0</v>
      </c>
      <c r="M225" s="10" t="s">
        <v>677</v>
      </c>
      <c r="N225" s="10" t="s">
        <v>677</v>
      </c>
      <c r="O225" s="10" t="s">
        <v>677</v>
      </c>
      <c r="P225" s="10" t="s">
        <v>677</v>
      </c>
      <c r="AU225" s="7"/>
      <c r="AV225" s="28">
        <v>0</v>
      </c>
      <c r="AW225" s="3" t="s">
        <v>677</v>
      </c>
    </row>
    <row r="226" spans="1:49" ht="28.5" customHeight="1" x14ac:dyDescent="0.3">
      <c r="A226" s="10" t="s">
        <v>677</v>
      </c>
      <c r="B226" s="10" t="s">
        <v>677</v>
      </c>
      <c r="C226" s="10" t="s">
        <v>677</v>
      </c>
      <c r="D226" s="1">
        <v>0</v>
      </c>
      <c r="E226" s="1">
        <v>0</v>
      </c>
      <c r="F226" s="1">
        <f t="shared" si="55"/>
        <v>0</v>
      </c>
      <c r="G226" s="1">
        <v>0</v>
      </c>
      <c r="H226" s="1">
        <f t="shared" si="56"/>
        <v>0</v>
      </c>
      <c r="I226" s="1">
        <v>0</v>
      </c>
      <c r="J226" s="1">
        <f t="shared" si="57"/>
        <v>0</v>
      </c>
      <c r="K226" s="1">
        <f t="shared" si="58"/>
        <v>0</v>
      </c>
      <c r="L226" s="1">
        <f t="shared" si="59"/>
        <v>0</v>
      </c>
      <c r="M226" s="10" t="s">
        <v>677</v>
      </c>
      <c r="N226" s="10" t="s">
        <v>677</v>
      </c>
      <c r="O226" s="10" t="s">
        <v>677</v>
      </c>
      <c r="P226" s="10" t="s">
        <v>677</v>
      </c>
      <c r="AU226" s="7"/>
      <c r="AV226" s="28">
        <v>0</v>
      </c>
      <c r="AW226" s="3" t="s">
        <v>677</v>
      </c>
    </row>
    <row r="227" spans="1:49" ht="28.5" customHeight="1" x14ac:dyDescent="0.3">
      <c r="A227" s="10" t="s">
        <v>677</v>
      </c>
      <c r="B227" s="10" t="s">
        <v>677</v>
      </c>
      <c r="C227" s="10" t="s">
        <v>677</v>
      </c>
      <c r="D227" s="1">
        <v>0</v>
      </c>
      <c r="E227" s="1">
        <v>0</v>
      </c>
      <c r="F227" s="1">
        <f t="shared" si="55"/>
        <v>0</v>
      </c>
      <c r="G227" s="1">
        <v>0</v>
      </c>
      <c r="H227" s="1">
        <f t="shared" si="56"/>
        <v>0</v>
      </c>
      <c r="I227" s="1">
        <v>0</v>
      </c>
      <c r="J227" s="1">
        <f t="shared" si="57"/>
        <v>0</v>
      </c>
      <c r="K227" s="1">
        <f t="shared" si="58"/>
        <v>0</v>
      </c>
      <c r="L227" s="1">
        <f t="shared" si="59"/>
        <v>0</v>
      </c>
      <c r="M227" s="10" t="s">
        <v>677</v>
      </c>
      <c r="N227" s="10" t="s">
        <v>677</v>
      </c>
      <c r="O227" s="10" t="s">
        <v>677</v>
      </c>
      <c r="P227" s="10" t="s">
        <v>677</v>
      </c>
      <c r="AU227" s="7"/>
      <c r="AV227" s="28">
        <v>0</v>
      </c>
      <c r="AW227" s="3" t="s">
        <v>677</v>
      </c>
    </row>
    <row r="228" spans="1:49" ht="28.5" customHeight="1" x14ac:dyDescent="0.3">
      <c r="A228" s="10" t="s">
        <v>677</v>
      </c>
      <c r="B228" s="10" t="s">
        <v>677</v>
      </c>
      <c r="C228" s="10" t="s">
        <v>677</v>
      </c>
      <c r="D228" s="1">
        <v>0</v>
      </c>
      <c r="E228" s="1">
        <v>0</v>
      </c>
      <c r="F228" s="1">
        <f t="shared" si="55"/>
        <v>0</v>
      </c>
      <c r="G228" s="1">
        <v>0</v>
      </c>
      <c r="H228" s="1">
        <f t="shared" si="56"/>
        <v>0</v>
      </c>
      <c r="I228" s="1">
        <v>0</v>
      </c>
      <c r="J228" s="1">
        <f t="shared" si="57"/>
        <v>0</v>
      </c>
      <c r="K228" s="1">
        <f t="shared" si="58"/>
        <v>0</v>
      </c>
      <c r="L228" s="1">
        <f t="shared" si="59"/>
        <v>0</v>
      </c>
      <c r="M228" s="10" t="s">
        <v>677</v>
      </c>
      <c r="N228" s="10" t="s">
        <v>677</v>
      </c>
      <c r="O228" s="10" t="s">
        <v>677</v>
      </c>
      <c r="P228" s="10" t="s">
        <v>677</v>
      </c>
      <c r="AU228" s="7"/>
      <c r="AV228" s="28">
        <v>0</v>
      </c>
      <c r="AW228" s="3" t="s">
        <v>677</v>
      </c>
    </row>
    <row r="229" spans="1:49" ht="28.5" customHeight="1" x14ac:dyDescent="0.3">
      <c r="A229" s="10" t="s">
        <v>677</v>
      </c>
      <c r="B229" s="10" t="s">
        <v>677</v>
      </c>
      <c r="C229" s="10" t="s">
        <v>677</v>
      </c>
      <c r="D229" s="1">
        <v>0</v>
      </c>
      <c r="E229" s="1">
        <v>0</v>
      </c>
      <c r="F229" s="1">
        <f t="shared" si="55"/>
        <v>0</v>
      </c>
      <c r="G229" s="1">
        <v>0</v>
      </c>
      <c r="H229" s="1">
        <f t="shared" si="56"/>
        <v>0</v>
      </c>
      <c r="I229" s="1">
        <v>0</v>
      </c>
      <c r="J229" s="1">
        <f t="shared" si="57"/>
        <v>0</v>
      </c>
      <c r="K229" s="1">
        <f t="shared" si="58"/>
        <v>0</v>
      </c>
      <c r="L229" s="1">
        <f t="shared" si="59"/>
        <v>0</v>
      </c>
      <c r="M229" s="10" t="s">
        <v>677</v>
      </c>
      <c r="N229" s="10" t="s">
        <v>677</v>
      </c>
      <c r="O229" s="10" t="s">
        <v>677</v>
      </c>
      <c r="P229" s="10" t="s">
        <v>677</v>
      </c>
      <c r="AU229" s="7"/>
      <c r="AV229" s="28">
        <v>0</v>
      </c>
      <c r="AW229" s="3" t="s">
        <v>677</v>
      </c>
    </row>
    <row r="230" spans="1:49" ht="28.5" customHeight="1" x14ac:dyDescent="0.3">
      <c r="A230" s="10" t="s">
        <v>677</v>
      </c>
      <c r="B230" s="10" t="s">
        <v>677</v>
      </c>
      <c r="C230" s="10" t="s">
        <v>677</v>
      </c>
      <c r="D230" s="1">
        <v>0</v>
      </c>
      <c r="E230" s="1">
        <v>0</v>
      </c>
      <c r="F230" s="1">
        <f t="shared" si="55"/>
        <v>0</v>
      </c>
      <c r="G230" s="1">
        <v>0</v>
      </c>
      <c r="H230" s="1">
        <f t="shared" si="56"/>
        <v>0</v>
      </c>
      <c r="I230" s="1">
        <v>0</v>
      </c>
      <c r="J230" s="1">
        <f t="shared" si="57"/>
        <v>0</v>
      </c>
      <c r="K230" s="1">
        <f t="shared" si="58"/>
        <v>0</v>
      </c>
      <c r="L230" s="1">
        <f t="shared" si="59"/>
        <v>0</v>
      </c>
      <c r="M230" s="10" t="s">
        <v>677</v>
      </c>
      <c r="N230" s="10" t="s">
        <v>677</v>
      </c>
      <c r="O230" s="10" t="s">
        <v>677</v>
      </c>
      <c r="P230" s="10" t="s">
        <v>677</v>
      </c>
      <c r="AU230" s="7"/>
      <c r="AV230" s="28">
        <v>0</v>
      </c>
      <c r="AW230" s="3" t="s">
        <v>677</v>
      </c>
    </row>
    <row r="231" spans="1:49" ht="28.5" customHeight="1" x14ac:dyDescent="0.3">
      <c r="A231" s="10" t="s">
        <v>677</v>
      </c>
      <c r="B231" s="10" t="s">
        <v>677</v>
      </c>
      <c r="C231" s="10" t="s">
        <v>677</v>
      </c>
      <c r="D231" s="1">
        <v>0</v>
      </c>
      <c r="E231" s="1">
        <v>0</v>
      </c>
      <c r="F231" s="1">
        <f t="shared" si="55"/>
        <v>0</v>
      </c>
      <c r="G231" s="1">
        <v>0</v>
      </c>
      <c r="H231" s="1">
        <f t="shared" si="56"/>
        <v>0</v>
      </c>
      <c r="I231" s="1">
        <v>0</v>
      </c>
      <c r="J231" s="1">
        <f t="shared" si="57"/>
        <v>0</v>
      </c>
      <c r="K231" s="1">
        <f t="shared" si="58"/>
        <v>0</v>
      </c>
      <c r="L231" s="1">
        <f t="shared" si="59"/>
        <v>0</v>
      </c>
      <c r="M231" s="10" t="s">
        <v>677</v>
      </c>
      <c r="N231" s="10" t="s">
        <v>677</v>
      </c>
      <c r="O231" s="10" t="s">
        <v>677</v>
      </c>
      <c r="P231" s="10" t="s">
        <v>677</v>
      </c>
      <c r="AU231" s="7"/>
      <c r="AV231" s="28">
        <v>0</v>
      </c>
      <c r="AW231" s="3" t="s">
        <v>677</v>
      </c>
    </row>
    <row r="232" spans="1:49" ht="28.5" customHeight="1" x14ac:dyDescent="0.3">
      <c r="A232" s="10" t="s">
        <v>677</v>
      </c>
      <c r="B232" s="10" t="s">
        <v>677</v>
      </c>
      <c r="C232" s="10" t="s">
        <v>677</v>
      </c>
      <c r="D232" s="1">
        <v>0</v>
      </c>
      <c r="E232" s="1">
        <v>0</v>
      </c>
      <c r="F232" s="1">
        <f t="shared" si="55"/>
        <v>0</v>
      </c>
      <c r="G232" s="1">
        <v>0</v>
      </c>
      <c r="H232" s="1">
        <f t="shared" si="56"/>
        <v>0</v>
      </c>
      <c r="I232" s="1">
        <v>0</v>
      </c>
      <c r="J232" s="1">
        <f t="shared" si="57"/>
        <v>0</v>
      </c>
      <c r="K232" s="1">
        <f t="shared" si="58"/>
        <v>0</v>
      </c>
      <c r="L232" s="1">
        <f t="shared" si="59"/>
        <v>0</v>
      </c>
      <c r="M232" s="10" t="s">
        <v>677</v>
      </c>
      <c r="N232" s="10" t="s">
        <v>677</v>
      </c>
      <c r="O232" s="10" t="s">
        <v>677</v>
      </c>
      <c r="P232" s="10" t="s">
        <v>677</v>
      </c>
      <c r="AU232" s="7"/>
      <c r="AV232" s="28">
        <v>0</v>
      </c>
      <c r="AW232" s="3" t="s">
        <v>677</v>
      </c>
    </row>
    <row r="233" spans="1:49" ht="28.5" customHeight="1" x14ac:dyDescent="0.3">
      <c r="A233" s="10" t="s">
        <v>677</v>
      </c>
      <c r="B233" s="10" t="s">
        <v>677</v>
      </c>
      <c r="C233" s="10" t="s">
        <v>677</v>
      </c>
      <c r="D233" s="1">
        <v>0</v>
      </c>
      <c r="E233" s="1">
        <v>0</v>
      </c>
      <c r="F233" s="1">
        <f t="shared" si="55"/>
        <v>0</v>
      </c>
      <c r="G233" s="1">
        <v>0</v>
      </c>
      <c r="H233" s="1">
        <f t="shared" si="56"/>
        <v>0</v>
      </c>
      <c r="I233" s="1">
        <v>0</v>
      </c>
      <c r="J233" s="1">
        <f t="shared" si="57"/>
        <v>0</v>
      </c>
      <c r="K233" s="1">
        <f t="shared" si="58"/>
        <v>0</v>
      </c>
      <c r="L233" s="1">
        <f t="shared" si="59"/>
        <v>0</v>
      </c>
      <c r="M233" s="10" t="s">
        <v>677</v>
      </c>
      <c r="N233" s="10" t="s">
        <v>677</v>
      </c>
      <c r="O233" s="10" t="s">
        <v>677</v>
      </c>
      <c r="P233" s="10" t="s">
        <v>677</v>
      </c>
      <c r="AU233" s="7"/>
      <c r="AV233" s="28">
        <v>0</v>
      </c>
      <c r="AW233" s="3" t="s">
        <v>677</v>
      </c>
    </row>
    <row r="234" spans="1:49" ht="28.5" customHeight="1" x14ac:dyDescent="0.3">
      <c r="A234" s="10" t="s">
        <v>677</v>
      </c>
      <c r="B234" s="10" t="s">
        <v>677</v>
      </c>
      <c r="C234" s="10" t="s">
        <v>677</v>
      </c>
      <c r="D234" s="1">
        <v>0</v>
      </c>
      <c r="E234" s="1">
        <v>0</v>
      </c>
      <c r="F234" s="1">
        <f t="shared" si="55"/>
        <v>0</v>
      </c>
      <c r="G234" s="1">
        <v>0</v>
      </c>
      <c r="H234" s="1">
        <f t="shared" si="56"/>
        <v>0</v>
      </c>
      <c r="I234" s="1">
        <v>0</v>
      </c>
      <c r="J234" s="1">
        <f t="shared" si="57"/>
        <v>0</v>
      </c>
      <c r="K234" s="1">
        <f t="shared" si="58"/>
        <v>0</v>
      </c>
      <c r="L234" s="1">
        <f t="shared" si="59"/>
        <v>0</v>
      </c>
      <c r="M234" s="10" t="s">
        <v>677</v>
      </c>
      <c r="N234" s="10" t="s">
        <v>677</v>
      </c>
      <c r="O234" s="10" t="s">
        <v>677</v>
      </c>
      <c r="P234" s="10" t="s">
        <v>677</v>
      </c>
      <c r="AU234" s="7"/>
      <c r="AV234" s="28">
        <v>0</v>
      </c>
      <c r="AW234" s="3" t="s">
        <v>677</v>
      </c>
    </row>
    <row r="235" spans="1:49" ht="28.5" customHeight="1" x14ac:dyDescent="0.3">
      <c r="A235" s="10" t="s">
        <v>109</v>
      </c>
      <c r="B235" s="10" t="s">
        <v>677</v>
      </c>
      <c r="C235" s="10" t="s">
        <v>677</v>
      </c>
      <c r="D235" s="10" t="s">
        <v>677</v>
      </c>
      <c r="E235" s="27">
        <v>0</v>
      </c>
      <c r="F235" s="1">
        <f>TRUNC(SUMIF(Q210:Q234, Q209,F210:F234),0)</f>
        <v>145341000</v>
      </c>
      <c r="G235" s="1">
        <v>0</v>
      </c>
      <c r="H235" s="1">
        <f>TRUNC(SUMIF(Q210:Q234, Q209,H210:H234),0)</f>
        <v>0</v>
      </c>
      <c r="I235" s="1">
        <v>0</v>
      </c>
      <c r="J235" s="1">
        <f>TRUNC(SUMIF(Q210:Q234, Q209,J210:J234),0)</f>
        <v>0</v>
      </c>
      <c r="K235" s="12" t="s">
        <v>677</v>
      </c>
      <c r="L235" s="1">
        <f>F235+H235+J235</f>
        <v>145341000</v>
      </c>
      <c r="M235" s="10"/>
      <c r="AW235" s="10" t="s">
        <v>677</v>
      </c>
    </row>
    <row r="236" spans="1:49" ht="28.5" customHeight="1" x14ac:dyDescent="0.3">
      <c r="A236" s="10" t="s">
        <v>584</v>
      </c>
      <c r="B236" s="10"/>
      <c r="C236" s="10"/>
      <c r="D236" s="10" t="s">
        <v>677</v>
      </c>
      <c r="E236" s="10" t="s">
        <v>677</v>
      </c>
      <c r="F236" s="10" t="s">
        <v>677</v>
      </c>
      <c r="G236" s="10" t="s">
        <v>677</v>
      </c>
      <c r="H236" s="10" t="s">
        <v>677</v>
      </c>
      <c r="I236" s="10" t="s">
        <v>677</v>
      </c>
      <c r="J236" s="10" t="s">
        <v>677</v>
      </c>
      <c r="K236" s="10" t="s">
        <v>677</v>
      </c>
      <c r="L236" s="10" t="s">
        <v>677</v>
      </c>
      <c r="M236" s="10" t="s">
        <v>677</v>
      </c>
      <c r="N236" s="5" t="s">
        <v>677</v>
      </c>
      <c r="Q236" s="7" t="s">
        <v>866</v>
      </c>
      <c r="R236" s="28">
        <v>900000</v>
      </c>
      <c r="S236" s="28">
        <v>0</v>
      </c>
      <c r="AH236" s="7"/>
      <c r="AW236" s="10" t="s">
        <v>677</v>
      </c>
    </row>
    <row r="237" spans="1:49" ht="28.5" customHeight="1" x14ac:dyDescent="0.3">
      <c r="A237" s="35" t="s">
        <v>1109</v>
      </c>
      <c r="B237" s="35" t="s">
        <v>1110</v>
      </c>
      <c r="C237" s="35" t="s">
        <v>1111</v>
      </c>
      <c r="D237" s="22">
        <v>22</v>
      </c>
      <c r="E237" s="1"/>
      <c r="F237" s="1">
        <f t="shared" ref="F237:F260" si="71">ROUNDDOWN(D237*E237,0)</f>
        <v>0</v>
      </c>
      <c r="G237" s="1"/>
      <c r="H237" s="1">
        <f t="shared" ref="H237:H260" si="72">ROUNDDOWN(D237*G237,0)</f>
        <v>0</v>
      </c>
      <c r="I237" s="1">
        <f>단가대비표!AE78</f>
        <v>2000</v>
      </c>
      <c r="J237" s="1">
        <f t="shared" ref="J237:J260" si="73">ROUNDDOWN(D237*I237,0)</f>
        <v>44000</v>
      </c>
      <c r="K237" s="1">
        <f t="shared" ref="K237:K260" si="74">ROUNDDOWN(E237+G237+I237,0)</f>
        <v>2000</v>
      </c>
      <c r="L237" s="1">
        <f t="shared" ref="L237:L260" si="75">ROUNDDOWN(F237+H237+J237,0)</f>
        <v>44000</v>
      </c>
      <c r="M237" s="10"/>
      <c r="N237" s="2" t="str">
        <f>HYPERLINK("#단가대비표!B71", "E001010102012512")</f>
        <v>E001010102012512</v>
      </c>
      <c r="O237" s="7" t="s">
        <v>677</v>
      </c>
      <c r="P237" s="7" t="s">
        <v>677</v>
      </c>
      <c r="Q237" s="7" t="s">
        <v>866</v>
      </c>
      <c r="R237" s="28">
        <v>900000</v>
      </c>
      <c r="S237" s="28">
        <v>10</v>
      </c>
      <c r="T237" s="7" t="s">
        <v>399</v>
      </c>
      <c r="U237" s="7" t="s">
        <v>399</v>
      </c>
      <c r="V237" s="7" t="s">
        <v>731</v>
      </c>
      <c r="W237" s="7" t="s">
        <v>677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  <c r="AH237" s="28">
        <v>0</v>
      </c>
      <c r="AI237" s="28">
        <v>10</v>
      </c>
      <c r="AJ237" s="28">
        <v>0</v>
      </c>
      <c r="AK237" s="28">
        <v>0</v>
      </c>
      <c r="AL237" s="28">
        <v>0</v>
      </c>
      <c r="AM237" s="28">
        <v>0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  <c r="AS237" s="28">
        <v>0</v>
      </c>
      <c r="AT237" s="28">
        <v>0</v>
      </c>
      <c r="AU237" s="7" t="s">
        <v>677</v>
      </c>
      <c r="AV237" s="28">
        <v>100</v>
      </c>
      <c r="AW237" s="3" t="s">
        <v>707</v>
      </c>
    </row>
    <row r="238" spans="1:49" ht="28.5" customHeight="1" x14ac:dyDescent="0.3">
      <c r="A238" s="35" t="s">
        <v>1112</v>
      </c>
      <c r="B238" s="35" t="s">
        <v>1110</v>
      </c>
      <c r="C238" s="35" t="s">
        <v>1111</v>
      </c>
      <c r="D238" s="1">
        <v>40</v>
      </c>
      <c r="E238" s="1">
        <v>0</v>
      </c>
      <c r="F238" s="1">
        <f t="shared" si="71"/>
        <v>0</v>
      </c>
      <c r="G238" s="1">
        <v>0</v>
      </c>
      <c r="H238" s="1">
        <f t="shared" si="72"/>
        <v>0</v>
      </c>
      <c r="I238" s="1">
        <f>단가대비표!AE79</f>
        <v>5000</v>
      </c>
      <c r="J238" s="1">
        <f t="shared" ref="J238:J241" si="76">ROUNDDOWN(D238*I238,0)</f>
        <v>200000</v>
      </c>
      <c r="K238" s="1">
        <f t="shared" ref="K238:K241" si="77">ROUNDDOWN(E238+G238+I238,0)</f>
        <v>5000</v>
      </c>
      <c r="L238" s="1">
        <f t="shared" ref="L238:L241" si="78">ROUNDDOWN(F238+H238+J238,0)</f>
        <v>200000</v>
      </c>
      <c r="M238" s="10"/>
      <c r="N238" s="2" t="str">
        <f t="shared" ref="N238:N241" si="79">HYPERLINK("#단가대비표!B71", "E001010102012512")</f>
        <v>E001010102012512</v>
      </c>
      <c r="O238" s="7" t="s">
        <v>677</v>
      </c>
      <c r="P238" s="7" t="s">
        <v>677</v>
      </c>
      <c r="Q238" s="7" t="s">
        <v>866</v>
      </c>
      <c r="R238" s="28">
        <v>900000</v>
      </c>
      <c r="S238" s="28">
        <v>10</v>
      </c>
      <c r="T238" s="7" t="s">
        <v>399</v>
      </c>
      <c r="U238" s="7" t="s">
        <v>399</v>
      </c>
      <c r="V238" s="7" t="s">
        <v>731</v>
      </c>
      <c r="W238" s="7" t="s">
        <v>677</v>
      </c>
      <c r="X238" s="28">
        <v>0</v>
      </c>
      <c r="Y238" s="28">
        <v>0</v>
      </c>
      <c r="Z238" s="28">
        <v>0</v>
      </c>
      <c r="AA238" s="28"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8">
        <v>0</v>
      </c>
      <c r="AH238" s="28">
        <v>0</v>
      </c>
      <c r="AI238" s="28">
        <v>10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28">
        <v>0</v>
      </c>
      <c r="AT238" s="28">
        <v>0</v>
      </c>
      <c r="AU238" s="7" t="s">
        <v>677</v>
      </c>
      <c r="AV238" s="28">
        <v>100</v>
      </c>
      <c r="AW238" s="3" t="s">
        <v>1118</v>
      </c>
    </row>
    <row r="239" spans="1:49" ht="28.5" customHeight="1" x14ac:dyDescent="0.3">
      <c r="A239" s="35" t="s">
        <v>1113</v>
      </c>
      <c r="B239" s="35" t="s">
        <v>1110</v>
      </c>
      <c r="C239" s="35" t="s">
        <v>1111</v>
      </c>
      <c r="D239" s="1">
        <v>30</v>
      </c>
      <c r="E239" s="1">
        <v>0</v>
      </c>
      <c r="F239" s="1">
        <f t="shared" si="71"/>
        <v>0</v>
      </c>
      <c r="G239" s="1">
        <v>0</v>
      </c>
      <c r="H239" s="1">
        <f t="shared" si="72"/>
        <v>0</v>
      </c>
      <c r="I239" s="1">
        <f>단가대비표!AE80</f>
        <v>500</v>
      </c>
      <c r="J239" s="1">
        <f t="shared" si="76"/>
        <v>15000</v>
      </c>
      <c r="K239" s="1">
        <f t="shared" si="77"/>
        <v>500</v>
      </c>
      <c r="L239" s="1">
        <f t="shared" si="78"/>
        <v>15000</v>
      </c>
      <c r="M239" s="10"/>
      <c r="N239" s="2" t="str">
        <f t="shared" si="79"/>
        <v>E001010102012512</v>
      </c>
      <c r="O239" s="7" t="s">
        <v>677</v>
      </c>
      <c r="P239" s="7" t="s">
        <v>677</v>
      </c>
      <c r="Q239" s="7" t="s">
        <v>866</v>
      </c>
      <c r="R239" s="28">
        <v>900000</v>
      </c>
      <c r="S239" s="28">
        <v>10</v>
      </c>
      <c r="T239" s="7" t="s">
        <v>399</v>
      </c>
      <c r="U239" s="7" t="s">
        <v>399</v>
      </c>
      <c r="V239" s="7" t="s">
        <v>731</v>
      </c>
      <c r="W239" s="7" t="s">
        <v>677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>
        <v>0</v>
      </c>
      <c r="AF239" s="28">
        <v>0</v>
      </c>
      <c r="AG239" s="28">
        <v>0</v>
      </c>
      <c r="AH239" s="28">
        <v>0</v>
      </c>
      <c r="AI239" s="28">
        <v>10</v>
      </c>
      <c r="AJ239" s="28">
        <v>0</v>
      </c>
      <c r="AK239" s="28">
        <v>0</v>
      </c>
      <c r="AL239" s="28">
        <v>0</v>
      </c>
      <c r="AM239" s="28">
        <v>0</v>
      </c>
      <c r="AN239" s="28">
        <v>0</v>
      </c>
      <c r="AO239" s="28">
        <v>0</v>
      </c>
      <c r="AP239" s="28">
        <v>0</v>
      </c>
      <c r="AQ239" s="28">
        <v>0</v>
      </c>
      <c r="AR239" s="28">
        <v>0</v>
      </c>
      <c r="AS239" s="28">
        <v>0</v>
      </c>
      <c r="AT239" s="28">
        <v>0</v>
      </c>
      <c r="AU239" s="7" t="s">
        <v>677</v>
      </c>
      <c r="AV239" s="28">
        <v>100</v>
      </c>
      <c r="AW239" s="3" t="s">
        <v>1119</v>
      </c>
    </row>
    <row r="240" spans="1:49" ht="28.5" customHeight="1" x14ac:dyDescent="0.3">
      <c r="A240" s="35" t="s">
        <v>1114</v>
      </c>
      <c r="B240" s="35" t="s">
        <v>1110</v>
      </c>
      <c r="C240" s="35" t="s">
        <v>1111</v>
      </c>
      <c r="D240" s="1">
        <v>77</v>
      </c>
      <c r="E240" s="1">
        <v>0</v>
      </c>
      <c r="F240" s="1">
        <f t="shared" si="71"/>
        <v>0</v>
      </c>
      <c r="G240" s="1">
        <v>0</v>
      </c>
      <c r="H240" s="1">
        <f t="shared" si="72"/>
        <v>0</v>
      </c>
      <c r="I240" s="1">
        <f>단가대비표!AE81</f>
        <v>2000</v>
      </c>
      <c r="J240" s="1">
        <f t="shared" si="76"/>
        <v>154000</v>
      </c>
      <c r="K240" s="1">
        <f t="shared" si="77"/>
        <v>2000</v>
      </c>
      <c r="L240" s="1">
        <f t="shared" si="78"/>
        <v>154000</v>
      </c>
      <c r="M240" s="10"/>
      <c r="N240" s="2" t="str">
        <f t="shared" si="79"/>
        <v>E001010102012512</v>
      </c>
      <c r="O240" s="7" t="s">
        <v>677</v>
      </c>
      <c r="P240" s="7" t="s">
        <v>677</v>
      </c>
      <c r="Q240" s="7" t="s">
        <v>866</v>
      </c>
      <c r="R240" s="28">
        <v>900000</v>
      </c>
      <c r="S240" s="28">
        <v>10</v>
      </c>
      <c r="T240" s="7" t="s">
        <v>399</v>
      </c>
      <c r="U240" s="7" t="s">
        <v>399</v>
      </c>
      <c r="V240" s="7" t="s">
        <v>731</v>
      </c>
      <c r="W240" s="7" t="s">
        <v>677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8">
        <v>0</v>
      </c>
      <c r="AH240" s="28">
        <v>0</v>
      </c>
      <c r="AI240" s="28">
        <v>10</v>
      </c>
      <c r="AJ240" s="28">
        <v>0</v>
      </c>
      <c r="AK240" s="28">
        <v>0</v>
      </c>
      <c r="AL240" s="28">
        <v>0</v>
      </c>
      <c r="AM240" s="28">
        <v>0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  <c r="AS240" s="28">
        <v>0</v>
      </c>
      <c r="AT240" s="28">
        <v>0</v>
      </c>
      <c r="AU240" s="7" t="s">
        <v>677</v>
      </c>
      <c r="AV240" s="28">
        <v>100</v>
      </c>
      <c r="AW240" s="3" t="s">
        <v>1120</v>
      </c>
    </row>
    <row r="241" spans="1:49" ht="28.5" customHeight="1" x14ac:dyDescent="0.3">
      <c r="A241" s="35" t="s">
        <v>1115</v>
      </c>
      <c r="B241" s="35" t="s">
        <v>1110</v>
      </c>
      <c r="C241" s="35" t="s">
        <v>1116</v>
      </c>
      <c r="D241" s="1">
        <v>15</v>
      </c>
      <c r="E241" s="1">
        <v>0</v>
      </c>
      <c r="F241" s="1">
        <f t="shared" si="71"/>
        <v>0</v>
      </c>
      <c r="G241" s="1">
        <v>0</v>
      </c>
      <c r="H241" s="1">
        <f t="shared" si="72"/>
        <v>0</v>
      </c>
      <c r="I241" s="1">
        <f>단가대비표!AE82</f>
        <v>11000</v>
      </c>
      <c r="J241" s="1">
        <f t="shared" si="76"/>
        <v>165000</v>
      </c>
      <c r="K241" s="1">
        <f t="shared" si="77"/>
        <v>11000</v>
      </c>
      <c r="L241" s="1">
        <f t="shared" si="78"/>
        <v>165000</v>
      </c>
      <c r="M241" s="10"/>
      <c r="N241" s="2" t="str">
        <f t="shared" si="79"/>
        <v>E001010102012512</v>
      </c>
      <c r="O241" s="7" t="s">
        <v>677</v>
      </c>
      <c r="P241" s="7" t="s">
        <v>677</v>
      </c>
      <c r="Q241" s="7" t="s">
        <v>866</v>
      </c>
      <c r="R241" s="28">
        <v>900000</v>
      </c>
      <c r="S241" s="28">
        <v>10</v>
      </c>
      <c r="T241" s="7" t="s">
        <v>399</v>
      </c>
      <c r="U241" s="7" t="s">
        <v>399</v>
      </c>
      <c r="V241" s="7" t="s">
        <v>731</v>
      </c>
      <c r="W241" s="7" t="s">
        <v>677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  <c r="AC241" s="28">
        <v>0</v>
      </c>
      <c r="AD241" s="28">
        <v>0</v>
      </c>
      <c r="AE241" s="28">
        <v>0</v>
      </c>
      <c r="AF241" s="28">
        <v>0</v>
      </c>
      <c r="AG241" s="28">
        <v>0</v>
      </c>
      <c r="AH241" s="28">
        <v>0</v>
      </c>
      <c r="AI241" s="28">
        <v>10</v>
      </c>
      <c r="AJ241" s="28">
        <v>0</v>
      </c>
      <c r="AK241" s="28">
        <v>0</v>
      </c>
      <c r="AL241" s="28">
        <v>0</v>
      </c>
      <c r="AM241" s="28">
        <v>0</v>
      </c>
      <c r="AN241" s="28">
        <v>0</v>
      </c>
      <c r="AO241" s="28">
        <v>0</v>
      </c>
      <c r="AP241" s="28">
        <v>0</v>
      </c>
      <c r="AQ241" s="28">
        <v>0</v>
      </c>
      <c r="AR241" s="28">
        <v>0</v>
      </c>
      <c r="AS241" s="28">
        <v>0</v>
      </c>
      <c r="AT241" s="28">
        <v>0</v>
      </c>
      <c r="AU241" s="7" t="s">
        <v>677</v>
      </c>
      <c r="AV241" s="28">
        <v>100</v>
      </c>
      <c r="AW241" s="3" t="s">
        <v>1121</v>
      </c>
    </row>
    <row r="242" spans="1:49" ht="28.5" customHeight="1" x14ac:dyDescent="0.3">
      <c r="A242" s="10" t="s">
        <v>677</v>
      </c>
      <c r="B242" s="10" t="s">
        <v>677</v>
      </c>
      <c r="C242" s="10" t="s">
        <v>677</v>
      </c>
      <c r="D242" s="1">
        <v>0</v>
      </c>
      <c r="E242" s="1">
        <v>0</v>
      </c>
      <c r="F242" s="1">
        <f t="shared" si="71"/>
        <v>0</v>
      </c>
      <c r="G242" s="1">
        <v>0</v>
      </c>
      <c r="H242" s="1">
        <f t="shared" si="72"/>
        <v>0</v>
      </c>
      <c r="I242" s="1">
        <v>0</v>
      </c>
      <c r="J242" s="1">
        <f t="shared" si="73"/>
        <v>0</v>
      </c>
      <c r="K242" s="1">
        <f t="shared" si="74"/>
        <v>0</v>
      </c>
      <c r="L242" s="1">
        <f t="shared" si="75"/>
        <v>0</v>
      </c>
      <c r="M242" s="10" t="s">
        <v>677</v>
      </c>
      <c r="N242" s="10" t="s">
        <v>677</v>
      </c>
      <c r="O242" s="10" t="s">
        <v>677</v>
      </c>
      <c r="P242" s="10" t="s">
        <v>677</v>
      </c>
      <c r="AU242" s="7"/>
      <c r="AV242" s="28">
        <v>0</v>
      </c>
      <c r="AW242" s="3" t="s">
        <v>677</v>
      </c>
    </row>
    <row r="243" spans="1:49" ht="28.5" customHeight="1" x14ac:dyDescent="0.3">
      <c r="A243" s="10" t="s">
        <v>677</v>
      </c>
      <c r="B243" s="10" t="s">
        <v>677</v>
      </c>
      <c r="C243" s="10" t="s">
        <v>677</v>
      </c>
      <c r="D243" s="1">
        <v>0</v>
      </c>
      <c r="E243" s="1">
        <v>0</v>
      </c>
      <c r="F243" s="1">
        <f t="shared" si="71"/>
        <v>0</v>
      </c>
      <c r="G243" s="1">
        <v>0</v>
      </c>
      <c r="H243" s="1">
        <f t="shared" si="72"/>
        <v>0</v>
      </c>
      <c r="I243" s="1">
        <v>0</v>
      </c>
      <c r="J243" s="1">
        <f t="shared" si="73"/>
        <v>0</v>
      </c>
      <c r="K243" s="1">
        <f t="shared" si="74"/>
        <v>0</v>
      </c>
      <c r="L243" s="1">
        <f t="shared" si="75"/>
        <v>0</v>
      </c>
      <c r="M243" s="10" t="s">
        <v>677</v>
      </c>
      <c r="N243" s="10" t="s">
        <v>677</v>
      </c>
      <c r="O243" s="10" t="s">
        <v>677</v>
      </c>
      <c r="P243" s="10" t="s">
        <v>677</v>
      </c>
      <c r="AU243" s="7"/>
      <c r="AV243" s="28">
        <v>0</v>
      </c>
      <c r="AW243" s="3" t="s">
        <v>677</v>
      </c>
    </row>
    <row r="244" spans="1:49" ht="28.5" customHeight="1" x14ac:dyDescent="0.3">
      <c r="A244" s="10" t="s">
        <v>677</v>
      </c>
      <c r="B244" s="10" t="s">
        <v>677</v>
      </c>
      <c r="C244" s="10" t="s">
        <v>677</v>
      </c>
      <c r="D244" s="1">
        <v>0</v>
      </c>
      <c r="E244" s="1">
        <v>0</v>
      </c>
      <c r="F244" s="1">
        <f t="shared" si="71"/>
        <v>0</v>
      </c>
      <c r="G244" s="1">
        <v>0</v>
      </c>
      <c r="H244" s="1">
        <f t="shared" si="72"/>
        <v>0</v>
      </c>
      <c r="I244" s="1">
        <v>0</v>
      </c>
      <c r="J244" s="1">
        <f t="shared" si="73"/>
        <v>0</v>
      </c>
      <c r="K244" s="1">
        <f t="shared" si="74"/>
        <v>0</v>
      </c>
      <c r="L244" s="1">
        <f t="shared" si="75"/>
        <v>0</v>
      </c>
      <c r="M244" s="10" t="s">
        <v>677</v>
      </c>
      <c r="N244" s="10" t="s">
        <v>677</v>
      </c>
      <c r="O244" s="10" t="s">
        <v>677</v>
      </c>
      <c r="P244" s="10" t="s">
        <v>677</v>
      </c>
      <c r="AU244" s="7"/>
      <c r="AV244" s="28">
        <v>0</v>
      </c>
      <c r="AW244" s="3" t="s">
        <v>677</v>
      </c>
    </row>
    <row r="245" spans="1:49" ht="28.5" customHeight="1" x14ac:dyDescent="0.3">
      <c r="A245" s="10" t="s">
        <v>677</v>
      </c>
      <c r="B245" s="10" t="s">
        <v>677</v>
      </c>
      <c r="C245" s="10" t="s">
        <v>677</v>
      </c>
      <c r="D245" s="1">
        <v>0</v>
      </c>
      <c r="E245" s="1">
        <v>0</v>
      </c>
      <c r="F245" s="1">
        <f t="shared" si="71"/>
        <v>0</v>
      </c>
      <c r="G245" s="1">
        <v>0</v>
      </c>
      <c r="H245" s="1">
        <f t="shared" si="72"/>
        <v>0</v>
      </c>
      <c r="I245" s="1">
        <v>0</v>
      </c>
      <c r="J245" s="1">
        <f t="shared" si="73"/>
        <v>0</v>
      </c>
      <c r="K245" s="1">
        <f t="shared" si="74"/>
        <v>0</v>
      </c>
      <c r="L245" s="1">
        <f t="shared" si="75"/>
        <v>0</v>
      </c>
      <c r="M245" s="10" t="s">
        <v>677</v>
      </c>
      <c r="N245" s="10" t="s">
        <v>677</v>
      </c>
      <c r="O245" s="10" t="s">
        <v>677</v>
      </c>
      <c r="P245" s="10" t="s">
        <v>677</v>
      </c>
      <c r="AU245" s="7"/>
      <c r="AV245" s="28">
        <v>0</v>
      </c>
      <c r="AW245" s="3" t="s">
        <v>677</v>
      </c>
    </row>
    <row r="246" spans="1:49" ht="28.5" customHeight="1" x14ac:dyDescent="0.3">
      <c r="A246" s="10" t="s">
        <v>677</v>
      </c>
      <c r="B246" s="10" t="s">
        <v>677</v>
      </c>
      <c r="C246" s="10" t="s">
        <v>677</v>
      </c>
      <c r="D246" s="1">
        <v>0</v>
      </c>
      <c r="E246" s="1">
        <v>0</v>
      </c>
      <c r="F246" s="1">
        <f t="shared" si="71"/>
        <v>0</v>
      </c>
      <c r="G246" s="1">
        <v>0</v>
      </c>
      <c r="H246" s="1">
        <f t="shared" si="72"/>
        <v>0</v>
      </c>
      <c r="I246" s="1">
        <v>0</v>
      </c>
      <c r="J246" s="1">
        <f t="shared" si="73"/>
        <v>0</v>
      </c>
      <c r="K246" s="1">
        <f t="shared" si="74"/>
        <v>0</v>
      </c>
      <c r="L246" s="1">
        <f t="shared" si="75"/>
        <v>0</v>
      </c>
      <c r="M246" s="10" t="s">
        <v>677</v>
      </c>
      <c r="N246" s="10" t="s">
        <v>677</v>
      </c>
      <c r="O246" s="10" t="s">
        <v>677</v>
      </c>
      <c r="P246" s="10" t="s">
        <v>677</v>
      </c>
      <c r="AU246" s="7"/>
      <c r="AV246" s="28">
        <v>0</v>
      </c>
      <c r="AW246" s="3" t="s">
        <v>677</v>
      </c>
    </row>
    <row r="247" spans="1:49" ht="28.5" customHeight="1" x14ac:dyDescent="0.3">
      <c r="A247" s="10" t="s">
        <v>677</v>
      </c>
      <c r="B247" s="10" t="s">
        <v>677</v>
      </c>
      <c r="C247" s="10" t="s">
        <v>677</v>
      </c>
      <c r="D247" s="1">
        <v>0</v>
      </c>
      <c r="E247" s="1">
        <v>0</v>
      </c>
      <c r="F247" s="1">
        <f t="shared" si="71"/>
        <v>0</v>
      </c>
      <c r="G247" s="1">
        <v>0</v>
      </c>
      <c r="H247" s="1">
        <f t="shared" si="72"/>
        <v>0</v>
      </c>
      <c r="I247" s="1">
        <v>0</v>
      </c>
      <c r="J247" s="1">
        <f t="shared" si="73"/>
        <v>0</v>
      </c>
      <c r="K247" s="1">
        <f t="shared" si="74"/>
        <v>0</v>
      </c>
      <c r="L247" s="1">
        <f t="shared" si="75"/>
        <v>0</v>
      </c>
      <c r="M247" s="10" t="s">
        <v>677</v>
      </c>
      <c r="N247" s="10" t="s">
        <v>677</v>
      </c>
      <c r="O247" s="10" t="s">
        <v>677</v>
      </c>
      <c r="P247" s="10" t="s">
        <v>677</v>
      </c>
      <c r="AU247" s="7"/>
      <c r="AV247" s="28">
        <v>0</v>
      </c>
      <c r="AW247" s="3" t="s">
        <v>677</v>
      </c>
    </row>
    <row r="248" spans="1:49" ht="28.5" customHeight="1" x14ac:dyDescent="0.3">
      <c r="A248" s="10" t="s">
        <v>677</v>
      </c>
      <c r="B248" s="10" t="s">
        <v>677</v>
      </c>
      <c r="C248" s="10" t="s">
        <v>677</v>
      </c>
      <c r="D248" s="1">
        <v>0</v>
      </c>
      <c r="E248" s="1">
        <v>0</v>
      </c>
      <c r="F248" s="1">
        <f t="shared" si="71"/>
        <v>0</v>
      </c>
      <c r="G248" s="1">
        <v>0</v>
      </c>
      <c r="H248" s="1">
        <f t="shared" si="72"/>
        <v>0</v>
      </c>
      <c r="I248" s="1">
        <v>0</v>
      </c>
      <c r="J248" s="1">
        <f t="shared" si="73"/>
        <v>0</v>
      </c>
      <c r="K248" s="1">
        <f t="shared" si="74"/>
        <v>0</v>
      </c>
      <c r="L248" s="1">
        <f t="shared" si="75"/>
        <v>0</v>
      </c>
      <c r="M248" s="10" t="s">
        <v>677</v>
      </c>
      <c r="N248" s="10" t="s">
        <v>677</v>
      </c>
      <c r="O248" s="10" t="s">
        <v>677</v>
      </c>
      <c r="P248" s="10" t="s">
        <v>677</v>
      </c>
      <c r="AU248" s="7"/>
      <c r="AV248" s="28">
        <v>0</v>
      </c>
      <c r="AW248" s="3" t="s">
        <v>677</v>
      </c>
    </row>
    <row r="249" spans="1:49" ht="28.5" customHeight="1" x14ac:dyDescent="0.3">
      <c r="A249" s="10" t="s">
        <v>677</v>
      </c>
      <c r="B249" s="10" t="s">
        <v>677</v>
      </c>
      <c r="C249" s="10" t="s">
        <v>677</v>
      </c>
      <c r="D249" s="1">
        <v>0</v>
      </c>
      <c r="E249" s="1">
        <v>0</v>
      </c>
      <c r="F249" s="1">
        <f t="shared" si="71"/>
        <v>0</v>
      </c>
      <c r="G249" s="1">
        <v>0</v>
      </c>
      <c r="H249" s="1">
        <f t="shared" si="72"/>
        <v>0</v>
      </c>
      <c r="I249" s="1">
        <v>0</v>
      </c>
      <c r="J249" s="1">
        <f t="shared" si="73"/>
        <v>0</v>
      </c>
      <c r="K249" s="1">
        <f t="shared" si="74"/>
        <v>0</v>
      </c>
      <c r="L249" s="1">
        <f t="shared" si="75"/>
        <v>0</v>
      </c>
      <c r="M249" s="10" t="s">
        <v>677</v>
      </c>
      <c r="N249" s="10" t="s">
        <v>677</v>
      </c>
      <c r="O249" s="10" t="s">
        <v>677</v>
      </c>
      <c r="P249" s="10" t="s">
        <v>677</v>
      </c>
      <c r="AU249" s="7"/>
      <c r="AV249" s="28">
        <v>0</v>
      </c>
      <c r="AW249" s="3" t="s">
        <v>677</v>
      </c>
    </row>
    <row r="250" spans="1:49" ht="28.5" customHeight="1" x14ac:dyDescent="0.3">
      <c r="A250" s="10" t="s">
        <v>677</v>
      </c>
      <c r="B250" s="10" t="s">
        <v>677</v>
      </c>
      <c r="C250" s="10" t="s">
        <v>677</v>
      </c>
      <c r="D250" s="1">
        <v>0</v>
      </c>
      <c r="E250" s="1">
        <v>0</v>
      </c>
      <c r="F250" s="1">
        <f t="shared" si="71"/>
        <v>0</v>
      </c>
      <c r="G250" s="1">
        <v>0</v>
      </c>
      <c r="H250" s="1">
        <f t="shared" si="72"/>
        <v>0</v>
      </c>
      <c r="I250" s="1">
        <v>0</v>
      </c>
      <c r="J250" s="1">
        <f t="shared" si="73"/>
        <v>0</v>
      </c>
      <c r="K250" s="1">
        <f t="shared" si="74"/>
        <v>0</v>
      </c>
      <c r="L250" s="1">
        <f t="shared" si="75"/>
        <v>0</v>
      </c>
      <c r="M250" s="10" t="s">
        <v>677</v>
      </c>
      <c r="N250" s="10" t="s">
        <v>677</v>
      </c>
      <c r="O250" s="10" t="s">
        <v>677</v>
      </c>
      <c r="P250" s="10" t="s">
        <v>677</v>
      </c>
      <c r="AU250" s="7"/>
      <c r="AV250" s="28">
        <v>0</v>
      </c>
      <c r="AW250" s="3" t="s">
        <v>677</v>
      </c>
    </row>
    <row r="251" spans="1:49" ht="28.5" customHeight="1" x14ac:dyDescent="0.3">
      <c r="A251" s="10" t="s">
        <v>677</v>
      </c>
      <c r="B251" s="10" t="s">
        <v>677</v>
      </c>
      <c r="C251" s="10" t="s">
        <v>677</v>
      </c>
      <c r="D251" s="1">
        <v>0</v>
      </c>
      <c r="E251" s="1">
        <v>0</v>
      </c>
      <c r="F251" s="1">
        <f t="shared" si="71"/>
        <v>0</v>
      </c>
      <c r="G251" s="1">
        <v>0</v>
      </c>
      <c r="H251" s="1">
        <f t="shared" si="72"/>
        <v>0</v>
      </c>
      <c r="I251" s="1">
        <v>0</v>
      </c>
      <c r="J251" s="1">
        <f t="shared" si="73"/>
        <v>0</v>
      </c>
      <c r="K251" s="1">
        <f t="shared" si="74"/>
        <v>0</v>
      </c>
      <c r="L251" s="1">
        <f t="shared" si="75"/>
        <v>0</v>
      </c>
      <c r="M251" s="10" t="s">
        <v>677</v>
      </c>
      <c r="N251" s="10" t="s">
        <v>677</v>
      </c>
      <c r="O251" s="10" t="s">
        <v>677</v>
      </c>
      <c r="P251" s="10" t="s">
        <v>677</v>
      </c>
      <c r="AU251" s="7"/>
      <c r="AV251" s="28">
        <v>0</v>
      </c>
      <c r="AW251" s="3" t="s">
        <v>677</v>
      </c>
    </row>
    <row r="252" spans="1:49" ht="28.5" customHeight="1" x14ac:dyDescent="0.3">
      <c r="A252" s="10" t="s">
        <v>677</v>
      </c>
      <c r="B252" s="10" t="s">
        <v>677</v>
      </c>
      <c r="C252" s="10" t="s">
        <v>677</v>
      </c>
      <c r="D252" s="1">
        <v>0</v>
      </c>
      <c r="E252" s="1">
        <v>0</v>
      </c>
      <c r="F252" s="1">
        <f t="shared" si="71"/>
        <v>0</v>
      </c>
      <c r="G252" s="1">
        <v>0</v>
      </c>
      <c r="H252" s="1">
        <f t="shared" si="72"/>
        <v>0</v>
      </c>
      <c r="I252" s="1">
        <v>0</v>
      </c>
      <c r="J252" s="1">
        <f t="shared" si="73"/>
        <v>0</v>
      </c>
      <c r="K252" s="1">
        <f t="shared" si="74"/>
        <v>0</v>
      </c>
      <c r="L252" s="1">
        <f t="shared" si="75"/>
        <v>0</v>
      </c>
      <c r="M252" s="10" t="s">
        <v>677</v>
      </c>
      <c r="N252" s="10" t="s">
        <v>677</v>
      </c>
      <c r="O252" s="10" t="s">
        <v>677</v>
      </c>
      <c r="P252" s="10" t="s">
        <v>677</v>
      </c>
      <c r="AU252" s="7"/>
      <c r="AV252" s="28">
        <v>0</v>
      </c>
      <c r="AW252" s="3" t="s">
        <v>677</v>
      </c>
    </row>
    <row r="253" spans="1:49" ht="28.5" customHeight="1" x14ac:dyDescent="0.3">
      <c r="A253" s="10" t="s">
        <v>677</v>
      </c>
      <c r="B253" s="10" t="s">
        <v>677</v>
      </c>
      <c r="C253" s="10" t="s">
        <v>677</v>
      </c>
      <c r="D253" s="1">
        <v>0</v>
      </c>
      <c r="E253" s="1">
        <v>0</v>
      </c>
      <c r="F253" s="1">
        <f t="shared" si="71"/>
        <v>0</v>
      </c>
      <c r="G253" s="1">
        <v>0</v>
      </c>
      <c r="H253" s="1">
        <f t="shared" si="72"/>
        <v>0</v>
      </c>
      <c r="I253" s="1">
        <v>0</v>
      </c>
      <c r="J253" s="1">
        <f t="shared" si="73"/>
        <v>0</v>
      </c>
      <c r="K253" s="1">
        <f t="shared" si="74"/>
        <v>0</v>
      </c>
      <c r="L253" s="1">
        <f t="shared" si="75"/>
        <v>0</v>
      </c>
      <c r="M253" s="10" t="s">
        <v>677</v>
      </c>
      <c r="N253" s="10" t="s">
        <v>677</v>
      </c>
      <c r="O253" s="10" t="s">
        <v>677</v>
      </c>
      <c r="P253" s="10" t="s">
        <v>677</v>
      </c>
      <c r="AU253" s="7"/>
      <c r="AV253" s="28">
        <v>0</v>
      </c>
      <c r="AW253" s="3" t="s">
        <v>677</v>
      </c>
    </row>
    <row r="254" spans="1:49" ht="28.5" customHeight="1" x14ac:dyDescent="0.3">
      <c r="A254" s="10" t="s">
        <v>677</v>
      </c>
      <c r="B254" s="10" t="s">
        <v>677</v>
      </c>
      <c r="C254" s="10" t="s">
        <v>677</v>
      </c>
      <c r="D254" s="1">
        <v>0</v>
      </c>
      <c r="E254" s="1">
        <v>0</v>
      </c>
      <c r="F254" s="1">
        <f t="shared" si="71"/>
        <v>0</v>
      </c>
      <c r="G254" s="1">
        <v>0</v>
      </c>
      <c r="H254" s="1">
        <f t="shared" si="72"/>
        <v>0</v>
      </c>
      <c r="I254" s="1">
        <v>0</v>
      </c>
      <c r="J254" s="1">
        <f t="shared" si="73"/>
        <v>0</v>
      </c>
      <c r="K254" s="1">
        <f t="shared" si="74"/>
        <v>0</v>
      </c>
      <c r="L254" s="1">
        <f t="shared" si="75"/>
        <v>0</v>
      </c>
      <c r="M254" s="10" t="s">
        <v>677</v>
      </c>
      <c r="N254" s="10" t="s">
        <v>677</v>
      </c>
      <c r="O254" s="10" t="s">
        <v>677</v>
      </c>
      <c r="P254" s="10" t="s">
        <v>677</v>
      </c>
      <c r="AU254" s="7"/>
      <c r="AV254" s="28">
        <v>0</v>
      </c>
      <c r="AW254" s="3" t="s">
        <v>677</v>
      </c>
    </row>
    <row r="255" spans="1:49" ht="28.5" customHeight="1" x14ac:dyDescent="0.3">
      <c r="A255" s="10" t="s">
        <v>677</v>
      </c>
      <c r="B255" s="10" t="s">
        <v>677</v>
      </c>
      <c r="C255" s="10" t="s">
        <v>677</v>
      </c>
      <c r="D255" s="1">
        <v>0</v>
      </c>
      <c r="E255" s="1">
        <v>0</v>
      </c>
      <c r="F255" s="1">
        <f t="shared" si="71"/>
        <v>0</v>
      </c>
      <c r="G255" s="1">
        <v>0</v>
      </c>
      <c r="H255" s="1">
        <f t="shared" si="72"/>
        <v>0</v>
      </c>
      <c r="I255" s="1">
        <v>0</v>
      </c>
      <c r="J255" s="1">
        <f t="shared" si="73"/>
        <v>0</v>
      </c>
      <c r="K255" s="1">
        <f t="shared" si="74"/>
        <v>0</v>
      </c>
      <c r="L255" s="1">
        <f t="shared" si="75"/>
        <v>0</v>
      </c>
      <c r="M255" s="10" t="s">
        <v>677</v>
      </c>
      <c r="N255" s="10" t="s">
        <v>677</v>
      </c>
      <c r="O255" s="10" t="s">
        <v>677</v>
      </c>
      <c r="P255" s="10" t="s">
        <v>677</v>
      </c>
      <c r="AU255" s="7"/>
      <c r="AV255" s="28">
        <v>0</v>
      </c>
      <c r="AW255" s="3" t="s">
        <v>677</v>
      </c>
    </row>
    <row r="256" spans="1:49" ht="28.5" customHeight="1" x14ac:dyDescent="0.3">
      <c r="A256" s="10" t="s">
        <v>677</v>
      </c>
      <c r="B256" s="10" t="s">
        <v>677</v>
      </c>
      <c r="C256" s="10" t="s">
        <v>677</v>
      </c>
      <c r="D256" s="1">
        <v>0</v>
      </c>
      <c r="E256" s="1">
        <v>0</v>
      </c>
      <c r="F256" s="1">
        <f t="shared" si="71"/>
        <v>0</v>
      </c>
      <c r="G256" s="1">
        <v>0</v>
      </c>
      <c r="H256" s="1">
        <f t="shared" si="72"/>
        <v>0</v>
      </c>
      <c r="I256" s="1">
        <v>0</v>
      </c>
      <c r="J256" s="1">
        <f t="shared" si="73"/>
        <v>0</v>
      </c>
      <c r="K256" s="1">
        <f t="shared" si="74"/>
        <v>0</v>
      </c>
      <c r="L256" s="1">
        <f t="shared" si="75"/>
        <v>0</v>
      </c>
      <c r="M256" s="10" t="s">
        <v>677</v>
      </c>
      <c r="N256" s="10" t="s">
        <v>677</v>
      </c>
      <c r="O256" s="10" t="s">
        <v>677</v>
      </c>
      <c r="P256" s="10" t="s">
        <v>677</v>
      </c>
      <c r="AU256" s="7"/>
      <c r="AV256" s="28">
        <v>0</v>
      </c>
      <c r="AW256" s="3" t="s">
        <v>677</v>
      </c>
    </row>
    <row r="257" spans="1:49" ht="28.5" customHeight="1" x14ac:dyDescent="0.3">
      <c r="A257" s="10" t="s">
        <v>677</v>
      </c>
      <c r="B257" s="10" t="s">
        <v>677</v>
      </c>
      <c r="C257" s="10" t="s">
        <v>677</v>
      </c>
      <c r="D257" s="1">
        <v>0</v>
      </c>
      <c r="E257" s="1">
        <v>0</v>
      </c>
      <c r="F257" s="1">
        <f t="shared" si="71"/>
        <v>0</v>
      </c>
      <c r="G257" s="1">
        <v>0</v>
      </c>
      <c r="H257" s="1">
        <f t="shared" si="72"/>
        <v>0</v>
      </c>
      <c r="I257" s="1">
        <v>0</v>
      </c>
      <c r="J257" s="1">
        <f t="shared" si="73"/>
        <v>0</v>
      </c>
      <c r="K257" s="1">
        <f t="shared" si="74"/>
        <v>0</v>
      </c>
      <c r="L257" s="1">
        <f t="shared" si="75"/>
        <v>0</v>
      </c>
      <c r="M257" s="10" t="s">
        <v>677</v>
      </c>
      <c r="N257" s="10" t="s">
        <v>677</v>
      </c>
      <c r="O257" s="10" t="s">
        <v>677</v>
      </c>
      <c r="P257" s="10" t="s">
        <v>677</v>
      </c>
      <c r="AU257" s="7"/>
      <c r="AV257" s="28">
        <v>0</v>
      </c>
      <c r="AW257" s="3" t="s">
        <v>677</v>
      </c>
    </row>
    <row r="258" spans="1:49" ht="28.5" customHeight="1" x14ac:dyDescent="0.3">
      <c r="A258" s="10" t="s">
        <v>677</v>
      </c>
      <c r="B258" s="10" t="s">
        <v>677</v>
      </c>
      <c r="C258" s="10" t="s">
        <v>677</v>
      </c>
      <c r="D258" s="1">
        <v>0</v>
      </c>
      <c r="E258" s="1">
        <v>0</v>
      </c>
      <c r="F258" s="1">
        <f t="shared" si="71"/>
        <v>0</v>
      </c>
      <c r="G258" s="1">
        <v>0</v>
      </c>
      <c r="H258" s="1">
        <f t="shared" si="72"/>
        <v>0</v>
      </c>
      <c r="I258" s="1">
        <v>0</v>
      </c>
      <c r="J258" s="1">
        <f t="shared" si="73"/>
        <v>0</v>
      </c>
      <c r="K258" s="1">
        <f t="shared" si="74"/>
        <v>0</v>
      </c>
      <c r="L258" s="1">
        <f t="shared" si="75"/>
        <v>0</v>
      </c>
      <c r="M258" s="10" t="s">
        <v>677</v>
      </c>
      <c r="N258" s="10" t="s">
        <v>677</v>
      </c>
      <c r="O258" s="10" t="s">
        <v>677</v>
      </c>
      <c r="P258" s="10" t="s">
        <v>677</v>
      </c>
      <c r="AU258" s="7"/>
      <c r="AV258" s="28">
        <v>0</v>
      </c>
      <c r="AW258" s="3" t="s">
        <v>677</v>
      </c>
    </row>
    <row r="259" spans="1:49" ht="28.5" customHeight="1" x14ac:dyDescent="0.3">
      <c r="A259" s="10" t="s">
        <v>677</v>
      </c>
      <c r="B259" s="10" t="s">
        <v>677</v>
      </c>
      <c r="C259" s="10" t="s">
        <v>677</v>
      </c>
      <c r="D259" s="1">
        <v>0</v>
      </c>
      <c r="E259" s="1">
        <v>0</v>
      </c>
      <c r="F259" s="1">
        <f t="shared" si="71"/>
        <v>0</v>
      </c>
      <c r="G259" s="1">
        <v>0</v>
      </c>
      <c r="H259" s="1">
        <f t="shared" si="72"/>
        <v>0</v>
      </c>
      <c r="I259" s="1">
        <v>0</v>
      </c>
      <c r="J259" s="1">
        <f t="shared" si="73"/>
        <v>0</v>
      </c>
      <c r="K259" s="1">
        <f t="shared" si="74"/>
        <v>0</v>
      </c>
      <c r="L259" s="1">
        <f t="shared" si="75"/>
        <v>0</v>
      </c>
      <c r="M259" s="10" t="s">
        <v>677</v>
      </c>
      <c r="N259" s="10" t="s">
        <v>677</v>
      </c>
      <c r="O259" s="10" t="s">
        <v>677</v>
      </c>
      <c r="P259" s="10" t="s">
        <v>677</v>
      </c>
      <c r="AU259" s="7"/>
      <c r="AV259" s="28">
        <v>0</v>
      </c>
      <c r="AW259" s="3" t="s">
        <v>677</v>
      </c>
    </row>
    <row r="260" spans="1:49" ht="28.5" customHeight="1" x14ac:dyDescent="0.3">
      <c r="A260" s="10" t="s">
        <v>677</v>
      </c>
      <c r="B260" s="10" t="s">
        <v>677</v>
      </c>
      <c r="C260" s="10" t="s">
        <v>677</v>
      </c>
      <c r="D260" s="1">
        <v>0</v>
      </c>
      <c r="E260" s="1">
        <v>0</v>
      </c>
      <c r="F260" s="1">
        <f t="shared" si="71"/>
        <v>0</v>
      </c>
      <c r="G260" s="1">
        <v>0</v>
      </c>
      <c r="H260" s="1">
        <f t="shared" si="72"/>
        <v>0</v>
      </c>
      <c r="I260" s="1">
        <v>0</v>
      </c>
      <c r="J260" s="1">
        <f t="shared" si="73"/>
        <v>0</v>
      </c>
      <c r="K260" s="1">
        <f t="shared" si="74"/>
        <v>0</v>
      </c>
      <c r="L260" s="1">
        <f t="shared" si="75"/>
        <v>0</v>
      </c>
      <c r="M260" s="10" t="s">
        <v>677</v>
      </c>
      <c r="N260" s="10" t="s">
        <v>677</v>
      </c>
      <c r="O260" s="10" t="s">
        <v>677</v>
      </c>
      <c r="P260" s="10" t="s">
        <v>677</v>
      </c>
      <c r="AU260" s="7"/>
      <c r="AV260" s="28">
        <v>0</v>
      </c>
      <c r="AW260" s="3" t="s">
        <v>677</v>
      </c>
    </row>
    <row r="261" spans="1:49" ht="28.5" customHeight="1" x14ac:dyDescent="0.3">
      <c r="A261" s="10" t="s">
        <v>109</v>
      </c>
      <c r="B261" s="10" t="s">
        <v>677</v>
      </c>
      <c r="C261" s="10" t="s">
        <v>677</v>
      </c>
      <c r="D261" s="10" t="s">
        <v>677</v>
      </c>
      <c r="E261" s="27">
        <v>0</v>
      </c>
      <c r="F261" s="1">
        <f>TRUNC(SUMIF(Q237:Q260, Q236,F237:F260),0)</f>
        <v>0</v>
      </c>
      <c r="G261" s="1">
        <v>0</v>
      </c>
      <c r="H261" s="1">
        <f>TRUNC(SUMIF(Q237:Q260, Q236,H237:H260),0)</f>
        <v>0</v>
      </c>
      <c r="I261" s="1">
        <v>0</v>
      </c>
      <c r="J261" s="1">
        <f>TRUNC(SUMIF(Q237:Q260, Q236,J237:J260),0)</f>
        <v>578000</v>
      </c>
      <c r="K261" s="12" t="s">
        <v>677</v>
      </c>
      <c r="L261" s="1">
        <f>F261+H261+J261</f>
        <v>578000</v>
      </c>
      <c r="M261" s="10"/>
      <c r="AW261" s="10" t="s">
        <v>677</v>
      </c>
    </row>
    <row r="262" spans="1:49" ht="28.5" customHeight="1" x14ac:dyDescent="0.3">
      <c r="A262" s="10" t="s">
        <v>30</v>
      </c>
      <c r="B262" s="10"/>
      <c r="C262" s="10"/>
      <c r="D262" s="10" t="s">
        <v>677</v>
      </c>
      <c r="E262" s="10" t="s">
        <v>677</v>
      </c>
      <c r="F262" s="10" t="s">
        <v>677</v>
      </c>
      <c r="G262" s="10" t="s">
        <v>677</v>
      </c>
      <c r="H262" s="10" t="s">
        <v>677</v>
      </c>
      <c r="I262" s="10" t="s">
        <v>677</v>
      </c>
      <c r="J262" s="10" t="s">
        <v>677</v>
      </c>
      <c r="K262" s="10" t="s">
        <v>677</v>
      </c>
      <c r="L262" s="10" t="s">
        <v>677</v>
      </c>
      <c r="M262" s="10" t="s">
        <v>677</v>
      </c>
      <c r="N262" s="5" t="s">
        <v>677</v>
      </c>
      <c r="Q262" s="7" t="s">
        <v>307</v>
      </c>
      <c r="R262" s="28">
        <v>1000000</v>
      </c>
      <c r="S262" s="28">
        <v>0</v>
      </c>
      <c r="AH262" s="7"/>
      <c r="AW262" s="10" t="s">
        <v>677</v>
      </c>
    </row>
    <row r="263" spans="1:49" ht="28.5" customHeight="1" x14ac:dyDescent="0.3">
      <c r="A263" s="10" t="s">
        <v>451</v>
      </c>
      <c r="B263" s="10" t="s">
        <v>696</v>
      </c>
      <c r="C263" s="10" t="s">
        <v>924</v>
      </c>
      <c r="D263" s="22">
        <v>61.6</v>
      </c>
      <c r="E263" s="1">
        <f>ROUNDDOWN(ROUNDDOWN(일위대가목록!E28,0)*AV263/100,0)</f>
        <v>0</v>
      </c>
      <c r="F263" s="1">
        <f t="shared" ref="F263:F286" si="80">ROUNDDOWN(D263*E263,0)</f>
        <v>0</v>
      </c>
      <c r="G263" s="1">
        <f>ROUNDDOWN(ROUNDDOWN(일위대가목록!F28,0)*AV263/100,0)</f>
        <v>0</v>
      </c>
      <c r="H263" s="1">
        <f t="shared" ref="H263:H286" si="81">ROUNDDOWN(D263*G263,0)</f>
        <v>0</v>
      </c>
      <c r="I263" s="1">
        <f>ROUNDDOWN(ROUNDDOWN(일위대가목록!G28,0)*AV263/100,0)</f>
        <v>2016</v>
      </c>
      <c r="J263" s="1">
        <f t="shared" ref="J263:J286" si="82">ROUNDDOWN(D263*I263,0)</f>
        <v>124185</v>
      </c>
      <c r="K263" s="1">
        <f t="shared" ref="K263:K286" si="83">ROUNDDOWN(E263+G263+I263,0)</f>
        <v>2016</v>
      </c>
      <c r="L263" s="1">
        <f t="shared" ref="L263:L286" si="84">ROUNDDOWN(F263+H263+J263,0)</f>
        <v>124185</v>
      </c>
      <c r="M263" s="10" t="s">
        <v>677</v>
      </c>
      <c r="N263" s="2" t="str">
        <f>HYPERLINK("#일위대가목록!A28", "AAD150100800")</f>
        <v>AAD150100800</v>
      </c>
      <c r="O263" s="7" t="s">
        <v>677</v>
      </c>
      <c r="P263" s="7" t="s">
        <v>677</v>
      </c>
      <c r="Q263" s="7" t="s">
        <v>307</v>
      </c>
      <c r="R263" s="28">
        <v>1000000</v>
      </c>
      <c r="S263" s="28">
        <v>10</v>
      </c>
      <c r="T263" s="7" t="s">
        <v>731</v>
      </c>
      <c r="U263" s="7" t="s">
        <v>399</v>
      </c>
      <c r="V263" s="7" t="s">
        <v>399</v>
      </c>
      <c r="W263" s="7" t="s">
        <v>677</v>
      </c>
      <c r="X263" s="28">
        <v>0</v>
      </c>
      <c r="Y263" s="28">
        <v>0</v>
      </c>
      <c r="Z263" s="28">
        <v>0</v>
      </c>
      <c r="AA263" s="28">
        <v>0</v>
      </c>
      <c r="AB263" s="28">
        <v>0</v>
      </c>
      <c r="AC263" s="28">
        <v>0</v>
      </c>
      <c r="AD263" s="28">
        <v>0</v>
      </c>
      <c r="AE263" s="28">
        <v>0</v>
      </c>
      <c r="AF263" s="28">
        <v>0</v>
      </c>
      <c r="AG263" s="28">
        <v>0</v>
      </c>
      <c r="AH263" s="28">
        <v>0</v>
      </c>
      <c r="AI263" s="28">
        <v>11</v>
      </c>
      <c r="AJ263" s="28">
        <v>0</v>
      </c>
      <c r="AK263" s="28">
        <v>0</v>
      </c>
      <c r="AL263" s="28">
        <v>0</v>
      </c>
      <c r="AM263" s="28">
        <v>0</v>
      </c>
      <c r="AN263" s="28">
        <v>0</v>
      </c>
      <c r="AO263" s="28">
        <v>0</v>
      </c>
      <c r="AP263" s="28">
        <v>0</v>
      </c>
      <c r="AQ263" s="28">
        <v>0</v>
      </c>
      <c r="AR263" s="28">
        <v>0</v>
      </c>
      <c r="AS263" s="28">
        <v>0</v>
      </c>
      <c r="AT263" s="28">
        <v>0</v>
      </c>
      <c r="AU263" s="7" t="s">
        <v>677</v>
      </c>
      <c r="AV263" s="28">
        <v>100</v>
      </c>
      <c r="AW263" s="3" t="s">
        <v>1029</v>
      </c>
    </row>
    <row r="264" spans="1:49" ht="28.5" customHeight="1" x14ac:dyDescent="0.3">
      <c r="A264" s="10" t="s">
        <v>360</v>
      </c>
      <c r="B264" s="10" t="s">
        <v>953</v>
      </c>
      <c r="C264" s="10" t="s">
        <v>924</v>
      </c>
      <c r="D264" s="22">
        <v>61.6</v>
      </c>
      <c r="E264" s="1">
        <f>ROUNDDOWN(ROUNDDOWN(일위대가목록!E29,0)*AV264/100,0)</f>
        <v>0</v>
      </c>
      <c r="F264" s="1">
        <f t="shared" si="80"/>
        <v>0</v>
      </c>
      <c r="G264" s="1">
        <f>ROUNDDOWN(ROUNDDOWN(일위대가목록!F29,0)*AV264/100,0)</f>
        <v>0</v>
      </c>
      <c r="H264" s="1">
        <f t="shared" si="81"/>
        <v>0</v>
      </c>
      <c r="I264" s="1">
        <f>ROUNDDOWN(ROUNDDOWN(일위대가목록!G29,0)*AV264/100,0)</f>
        <v>13210</v>
      </c>
      <c r="J264" s="1">
        <f t="shared" si="82"/>
        <v>813736</v>
      </c>
      <c r="K264" s="1">
        <f t="shared" si="83"/>
        <v>13210</v>
      </c>
      <c r="L264" s="1">
        <f t="shared" si="84"/>
        <v>813736</v>
      </c>
      <c r="M264" s="10" t="s">
        <v>677</v>
      </c>
      <c r="N264" s="2" t="str">
        <f>HYPERLINK("#일위대가목록!A29", "AAD150101400")</f>
        <v>AAD150101400</v>
      </c>
      <c r="O264" s="7" t="s">
        <v>677</v>
      </c>
      <c r="P264" s="7" t="s">
        <v>677</v>
      </c>
      <c r="Q264" s="7" t="s">
        <v>307</v>
      </c>
      <c r="R264" s="28">
        <v>1000000</v>
      </c>
      <c r="S264" s="28">
        <v>20</v>
      </c>
      <c r="T264" s="7" t="s">
        <v>731</v>
      </c>
      <c r="U264" s="7" t="s">
        <v>399</v>
      </c>
      <c r="V264" s="7" t="s">
        <v>399</v>
      </c>
      <c r="W264" s="7" t="s">
        <v>677</v>
      </c>
      <c r="X264" s="28">
        <v>0</v>
      </c>
      <c r="Y264" s="28">
        <v>0</v>
      </c>
      <c r="Z264" s="28">
        <v>0</v>
      </c>
      <c r="AA264" s="28">
        <v>0</v>
      </c>
      <c r="AB264" s="28">
        <v>0</v>
      </c>
      <c r="AC264" s="28">
        <v>0</v>
      </c>
      <c r="AD264" s="28">
        <v>0</v>
      </c>
      <c r="AE264" s="28">
        <v>0</v>
      </c>
      <c r="AF264" s="28">
        <v>0</v>
      </c>
      <c r="AG264" s="28">
        <v>0</v>
      </c>
      <c r="AH264" s="28">
        <v>0</v>
      </c>
      <c r="AI264" s="28">
        <v>11</v>
      </c>
      <c r="AJ264" s="28">
        <v>0</v>
      </c>
      <c r="AK264" s="28">
        <v>0</v>
      </c>
      <c r="AL264" s="28">
        <v>0</v>
      </c>
      <c r="AM264" s="28">
        <v>0</v>
      </c>
      <c r="AN264" s="28">
        <v>0</v>
      </c>
      <c r="AO264" s="28">
        <v>0</v>
      </c>
      <c r="AP264" s="28">
        <v>0</v>
      </c>
      <c r="AQ264" s="28">
        <v>0</v>
      </c>
      <c r="AR264" s="28">
        <v>0</v>
      </c>
      <c r="AS264" s="28">
        <v>0</v>
      </c>
      <c r="AT264" s="28">
        <v>0</v>
      </c>
      <c r="AU264" s="7" t="s">
        <v>677</v>
      </c>
      <c r="AV264" s="28">
        <v>100</v>
      </c>
      <c r="AW264" s="3" t="s">
        <v>402</v>
      </c>
    </row>
    <row r="265" spans="1:49" ht="28.5" customHeight="1" x14ac:dyDescent="0.3">
      <c r="A265" s="10" t="s">
        <v>1157</v>
      </c>
      <c r="B265" s="10" t="s">
        <v>1158</v>
      </c>
      <c r="C265" s="10" t="s">
        <v>1038</v>
      </c>
      <c r="D265" s="22">
        <v>61.6</v>
      </c>
      <c r="E265" s="1">
        <f>ROUNDDOWN(ROUNDDOWN(단가대비표!U67,0)*AV265/100,0)</f>
        <v>0</v>
      </c>
      <c r="F265" s="1">
        <f t="shared" si="80"/>
        <v>0</v>
      </c>
      <c r="G265" s="1">
        <f>ROUNDDOWN(ROUNDDOWN(단가대비표!V67,0)*AV265/100,0)</f>
        <v>0</v>
      </c>
      <c r="H265" s="1">
        <f t="shared" si="81"/>
        <v>0</v>
      </c>
      <c r="I265" s="1">
        <f>ROUNDDOWN(ROUNDDOWN(단가대비표!AE67,0)*AV265/100,0)</f>
        <v>43000</v>
      </c>
      <c r="J265" s="1">
        <f t="shared" si="82"/>
        <v>2648800</v>
      </c>
      <c r="K265" s="1">
        <f t="shared" si="83"/>
        <v>43000</v>
      </c>
      <c r="L265" s="1">
        <f t="shared" si="84"/>
        <v>2648800</v>
      </c>
      <c r="M265" s="10" t="s">
        <v>677</v>
      </c>
      <c r="N265" s="2" t="str">
        <f>HYPERLINK("#단가대비표!B68", "AAD150104100")</f>
        <v>AAD150104100</v>
      </c>
      <c r="O265" s="7" t="s">
        <v>677</v>
      </c>
      <c r="P265" s="7" t="s">
        <v>677</v>
      </c>
      <c r="Q265" s="7" t="s">
        <v>307</v>
      </c>
      <c r="R265" s="28">
        <v>1000000</v>
      </c>
      <c r="S265" s="28">
        <v>30</v>
      </c>
      <c r="T265" s="7" t="s">
        <v>399</v>
      </c>
      <c r="U265" s="7" t="s">
        <v>399</v>
      </c>
      <c r="V265" s="7" t="s">
        <v>731</v>
      </c>
      <c r="W265" s="7" t="s">
        <v>677</v>
      </c>
      <c r="X265" s="28">
        <v>0</v>
      </c>
      <c r="Y265" s="28">
        <v>0</v>
      </c>
      <c r="Z265" s="28">
        <v>0</v>
      </c>
      <c r="AA265" s="28">
        <v>0</v>
      </c>
      <c r="AB265" s="28">
        <v>0</v>
      </c>
      <c r="AC265" s="28">
        <v>0</v>
      </c>
      <c r="AD265" s="28">
        <v>0</v>
      </c>
      <c r="AE265" s="28">
        <v>0</v>
      </c>
      <c r="AF265" s="28">
        <v>0</v>
      </c>
      <c r="AG265" s="28">
        <v>0</v>
      </c>
      <c r="AH265" s="28">
        <v>0</v>
      </c>
      <c r="AI265" s="28">
        <v>11</v>
      </c>
      <c r="AJ265" s="28">
        <v>0</v>
      </c>
      <c r="AK265" s="28">
        <v>0</v>
      </c>
      <c r="AL265" s="28">
        <v>0</v>
      </c>
      <c r="AM265" s="28">
        <v>0</v>
      </c>
      <c r="AN265" s="28">
        <v>0</v>
      </c>
      <c r="AO265" s="28">
        <v>0</v>
      </c>
      <c r="AP265" s="28">
        <v>0</v>
      </c>
      <c r="AQ265" s="28">
        <v>0</v>
      </c>
      <c r="AR265" s="28">
        <v>0</v>
      </c>
      <c r="AS265" s="28">
        <v>0</v>
      </c>
      <c r="AT265" s="28">
        <v>0</v>
      </c>
      <c r="AU265" s="7" t="s">
        <v>677</v>
      </c>
      <c r="AV265" s="28">
        <v>100</v>
      </c>
      <c r="AW265" s="3" t="s">
        <v>139</v>
      </c>
    </row>
    <row r="266" spans="1:49" ht="28.5" customHeight="1" x14ac:dyDescent="0.3">
      <c r="A266" s="10" t="s">
        <v>677</v>
      </c>
      <c r="B266" s="10" t="s">
        <v>677</v>
      </c>
      <c r="C266" s="10" t="s">
        <v>677</v>
      </c>
      <c r="D266" s="1">
        <v>0</v>
      </c>
      <c r="E266" s="1">
        <v>0</v>
      </c>
      <c r="F266" s="1">
        <f t="shared" si="80"/>
        <v>0</v>
      </c>
      <c r="G266" s="1">
        <v>0</v>
      </c>
      <c r="H266" s="1">
        <f t="shared" si="81"/>
        <v>0</v>
      </c>
      <c r="I266" s="1">
        <v>0</v>
      </c>
      <c r="J266" s="1">
        <f t="shared" si="82"/>
        <v>0</v>
      </c>
      <c r="K266" s="1">
        <f t="shared" si="83"/>
        <v>0</v>
      </c>
      <c r="L266" s="1">
        <f t="shared" si="84"/>
        <v>0</v>
      </c>
      <c r="M266" s="10" t="s">
        <v>677</v>
      </c>
      <c r="N266" s="10" t="s">
        <v>677</v>
      </c>
      <c r="O266" s="10" t="s">
        <v>677</v>
      </c>
      <c r="P266" s="10" t="s">
        <v>677</v>
      </c>
      <c r="AU266" s="7"/>
      <c r="AV266" s="28">
        <v>0</v>
      </c>
      <c r="AW266" s="3" t="s">
        <v>677</v>
      </c>
    </row>
    <row r="267" spans="1:49" ht="28.5" customHeight="1" x14ac:dyDescent="0.3">
      <c r="A267" s="10" t="s">
        <v>677</v>
      </c>
      <c r="B267" s="10" t="s">
        <v>677</v>
      </c>
      <c r="C267" s="10" t="s">
        <v>677</v>
      </c>
      <c r="D267" s="1">
        <v>0</v>
      </c>
      <c r="E267" s="1">
        <v>0</v>
      </c>
      <c r="F267" s="1">
        <f t="shared" si="80"/>
        <v>0</v>
      </c>
      <c r="G267" s="1">
        <v>0</v>
      </c>
      <c r="H267" s="1">
        <f t="shared" si="81"/>
        <v>0</v>
      </c>
      <c r="I267" s="1">
        <v>0</v>
      </c>
      <c r="J267" s="1">
        <f t="shared" si="82"/>
        <v>0</v>
      </c>
      <c r="K267" s="1">
        <f t="shared" si="83"/>
        <v>0</v>
      </c>
      <c r="L267" s="1">
        <f t="shared" si="84"/>
        <v>0</v>
      </c>
      <c r="M267" s="10" t="s">
        <v>677</v>
      </c>
      <c r="N267" s="10" t="s">
        <v>677</v>
      </c>
      <c r="O267" s="10" t="s">
        <v>677</v>
      </c>
      <c r="P267" s="10" t="s">
        <v>677</v>
      </c>
      <c r="AU267" s="7"/>
      <c r="AV267" s="28">
        <v>0</v>
      </c>
      <c r="AW267" s="3" t="s">
        <v>677</v>
      </c>
    </row>
    <row r="268" spans="1:49" ht="28.5" customHeight="1" x14ac:dyDescent="0.3">
      <c r="A268" s="10" t="s">
        <v>677</v>
      </c>
      <c r="B268" s="10" t="s">
        <v>677</v>
      </c>
      <c r="C268" s="10" t="s">
        <v>677</v>
      </c>
      <c r="D268" s="1">
        <v>0</v>
      </c>
      <c r="E268" s="1">
        <v>0</v>
      </c>
      <c r="F268" s="1">
        <f t="shared" si="80"/>
        <v>0</v>
      </c>
      <c r="G268" s="1">
        <v>0</v>
      </c>
      <c r="H268" s="1">
        <f t="shared" si="81"/>
        <v>0</v>
      </c>
      <c r="I268" s="1">
        <v>0</v>
      </c>
      <c r="J268" s="1">
        <f t="shared" si="82"/>
        <v>0</v>
      </c>
      <c r="K268" s="1">
        <f t="shared" si="83"/>
        <v>0</v>
      </c>
      <c r="L268" s="1">
        <f t="shared" si="84"/>
        <v>0</v>
      </c>
      <c r="M268" s="10" t="s">
        <v>677</v>
      </c>
      <c r="N268" s="10" t="s">
        <v>677</v>
      </c>
      <c r="O268" s="10" t="s">
        <v>677</v>
      </c>
      <c r="P268" s="10" t="s">
        <v>677</v>
      </c>
      <c r="AU268" s="7"/>
      <c r="AV268" s="28">
        <v>0</v>
      </c>
      <c r="AW268" s="3" t="s">
        <v>677</v>
      </c>
    </row>
    <row r="269" spans="1:49" ht="28.5" customHeight="1" x14ac:dyDescent="0.3">
      <c r="A269" s="10" t="s">
        <v>677</v>
      </c>
      <c r="B269" s="10" t="s">
        <v>677</v>
      </c>
      <c r="C269" s="10" t="s">
        <v>677</v>
      </c>
      <c r="D269" s="1">
        <v>0</v>
      </c>
      <c r="E269" s="1">
        <v>0</v>
      </c>
      <c r="F269" s="1">
        <f t="shared" si="80"/>
        <v>0</v>
      </c>
      <c r="G269" s="1">
        <v>0</v>
      </c>
      <c r="H269" s="1">
        <f t="shared" si="81"/>
        <v>0</v>
      </c>
      <c r="I269" s="1">
        <v>0</v>
      </c>
      <c r="J269" s="1">
        <f t="shared" si="82"/>
        <v>0</v>
      </c>
      <c r="K269" s="1">
        <f t="shared" si="83"/>
        <v>0</v>
      </c>
      <c r="L269" s="1">
        <f t="shared" si="84"/>
        <v>0</v>
      </c>
      <c r="M269" s="10" t="s">
        <v>677</v>
      </c>
      <c r="N269" s="10" t="s">
        <v>677</v>
      </c>
      <c r="O269" s="10" t="s">
        <v>677</v>
      </c>
      <c r="P269" s="10" t="s">
        <v>677</v>
      </c>
      <c r="AU269" s="7"/>
      <c r="AV269" s="28">
        <v>0</v>
      </c>
      <c r="AW269" s="3" t="s">
        <v>677</v>
      </c>
    </row>
    <row r="270" spans="1:49" ht="28.5" customHeight="1" x14ac:dyDescent="0.3">
      <c r="A270" s="10" t="s">
        <v>677</v>
      </c>
      <c r="B270" s="10" t="s">
        <v>677</v>
      </c>
      <c r="C270" s="10" t="s">
        <v>677</v>
      </c>
      <c r="D270" s="1">
        <v>0</v>
      </c>
      <c r="E270" s="1">
        <v>0</v>
      </c>
      <c r="F270" s="1">
        <f t="shared" si="80"/>
        <v>0</v>
      </c>
      <c r="G270" s="1">
        <v>0</v>
      </c>
      <c r="H270" s="1">
        <f t="shared" si="81"/>
        <v>0</v>
      </c>
      <c r="I270" s="1">
        <v>0</v>
      </c>
      <c r="J270" s="1">
        <f t="shared" si="82"/>
        <v>0</v>
      </c>
      <c r="K270" s="1">
        <f t="shared" si="83"/>
        <v>0</v>
      </c>
      <c r="L270" s="1">
        <f t="shared" si="84"/>
        <v>0</v>
      </c>
      <c r="M270" s="10" t="s">
        <v>677</v>
      </c>
      <c r="N270" s="10" t="s">
        <v>677</v>
      </c>
      <c r="O270" s="10" t="s">
        <v>677</v>
      </c>
      <c r="P270" s="10" t="s">
        <v>677</v>
      </c>
      <c r="AU270" s="7"/>
      <c r="AV270" s="28">
        <v>0</v>
      </c>
      <c r="AW270" s="3" t="s">
        <v>677</v>
      </c>
    </row>
    <row r="271" spans="1:49" ht="28.5" customHeight="1" x14ac:dyDescent="0.3">
      <c r="A271" s="10" t="s">
        <v>677</v>
      </c>
      <c r="B271" s="10" t="s">
        <v>677</v>
      </c>
      <c r="C271" s="10" t="s">
        <v>677</v>
      </c>
      <c r="D271" s="1">
        <v>0</v>
      </c>
      <c r="E271" s="1">
        <v>0</v>
      </c>
      <c r="F271" s="1">
        <f t="shared" si="80"/>
        <v>0</v>
      </c>
      <c r="G271" s="1">
        <v>0</v>
      </c>
      <c r="H271" s="1">
        <f t="shared" si="81"/>
        <v>0</v>
      </c>
      <c r="I271" s="1">
        <v>0</v>
      </c>
      <c r="J271" s="1">
        <f t="shared" si="82"/>
        <v>0</v>
      </c>
      <c r="K271" s="1">
        <f t="shared" si="83"/>
        <v>0</v>
      </c>
      <c r="L271" s="1">
        <f t="shared" si="84"/>
        <v>0</v>
      </c>
      <c r="M271" s="10" t="s">
        <v>677</v>
      </c>
      <c r="N271" s="10" t="s">
        <v>677</v>
      </c>
      <c r="O271" s="10" t="s">
        <v>677</v>
      </c>
      <c r="P271" s="10" t="s">
        <v>677</v>
      </c>
      <c r="AU271" s="7"/>
      <c r="AV271" s="28">
        <v>0</v>
      </c>
      <c r="AW271" s="3" t="s">
        <v>677</v>
      </c>
    </row>
    <row r="272" spans="1:49" ht="28.5" customHeight="1" x14ac:dyDescent="0.3">
      <c r="A272" s="10" t="s">
        <v>677</v>
      </c>
      <c r="B272" s="10" t="s">
        <v>677</v>
      </c>
      <c r="C272" s="10" t="s">
        <v>677</v>
      </c>
      <c r="D272" s="1">
        <v>0</v>
      </c>
      <c r="E272" s="1">
        <v>0</v>
      </c>
      <c r="F272" s="1">
        <f t="shared" si="80"/>
        <v>0</v>
      </c>
      <c r="G272" s="1">
        <v>0</v>
      </c>
      <c r="H272" s="1">
        <f t="shared" si="81"/>
        <v>0</v>
      </c>
      <c r="I272" s="1">
        <v>0</v>
      </c>
      <c r="J272" s="1">
        <f t="shared" si="82"/>
        <v>0</v>
      </c>
      <c r="K272" s="1">
        <f t="shared" si="83"/>
        <v>0</v>
      </c>
      <c r="L272" s="1">
        <f t="shared" si="84"/>
        <v>0</v>
      </c>
      <c r="M272" s="10" t="s">
        <v>677</v>
      </c>
      <c r="N272" s="10" t="s">
        <v>677</v>
      </c>
      <c r="O272" s="10" t="s">
        <v>677</v>
      </c>
      <c r="P272" s="10" t="s">
        <v>677</v>
      </c>
      <c r="AU272" s="7"/>
      <c r="AV272" s="28">
        <v>0</v>
      </c>
      <c r="AW272" s="3" t="s">
        <v>677</v>
      </c>
    </row>
    <row r="273" spans="1:49" ht="28.5" customHeight="1" x14ac:dyDescent="0.3">
      <c r="A273" s="10" t="s">
        <v>677</v>
      </c>
      <c r="B273" s="10" t="s">
        <v>677</v>
      </c>
      <c r="C273" s="10" t="s">
        <v>677</v>
      </c>
      <c r="D273" s="1">
        <v>0</v>
      </c>
      <c r="E273" s="1">
        <v>0</v>
      </c>
      <c r="F273" s="1">
        <f t="shared" si="80"/>
        <v>0</v>
      </c>
      <c r="G273" s="1">
        <v>0</v>
      </c>
      <c r="H273" s="1">
        <f t="shared" si="81"/>
        <v>0</v>
      </c>
      <c r="I273" s="1">
        <v>0</v>
      </c>
      <c r="J273" s="1">
        <f t="shared" si="82"/>
        <v>0</v>
      </c>
      <c r="K273" s="1">
        <f t="shared" si="83"/>
        <v>0</v>
      </c>
      <c r="L273" s="1">
        <f t="shared" si="84"/>
        <v>0</v>
      </c>
      <c r="M273" s="10" t="s">
        <v>677</v>
      </c>
      <c r="N273" s="10" t="s">
        <v>677</v>
      </c>
      <c r="O273" s="10" t="s">
        <v>677</v>
      </c>
      <c r="P273" s="10" t="s">
        <v>677</v>
      </c>
      <c r="AU273" s="7"/>
      <c r="AV273" s="28">
        <v>0</v>
      </c>
      <c r="AW273" s="3" t="s">
        <v>677</v>
      </c>
    </row>
    <row r="274" spans="1:49" ht="28.5" customHeight="1" x14ac:dyDescent="0.3">
      <c r="A274" s="10" t="s">
        <v>677</v>
      </c>
      <c r="B274" s="10" t="s">
        <v>677</v>
      </c>
      <c r="C274" s="10" t="s">
        <v>677</v>
      </c>
      <c r="D274" s="1">
        <v>0</v>
      </c>
      <c r="E274" s="1">
        <v>0</v>
      </c>
      <c r="F274" s="1">
        <f t="shared" si="80"/>
        <v>0</v>
      </c>
      <c r="G274" s="1">
        <v>0</v>
      </c>
      <c r="H274" s="1">
        <f t="shared" si="81"/>
        <v>0</v>
      </c>
      <c r="I274" s="1">
        <v>0</v>
      </c>
      <c r="J274" s="1">
        <f t="shared" si="82"/>
        <v>0</v>
      </c>
      <c r="K274" s="1">
        <f t="shared" si="83"/>
        <v>0</v>
      </c>
      <c r="L274" s="1">
        <f t="shared" si="84"/>
        <v>0</v>
      </c>
      <c r="M274" s="10" t="s">
        <v>677</v>
      </c>
      <c r="N274" s="10" t="s">
        <v>677</v>
      </c>
      <c r="O274" s="10" t="s">
        <v>677</v>
      </c>
      <c r="P274" s="10" t="s">
        <v>677</v>
      </c>
      <c r="AU274" s="7"/>
      <c r="AV274" s="28">
        <v>0</v>
      </c>
      <c r="AW274" s="3" t="s">
        <v>677</v>
      </c>
    </row>
    <row r="275" spans="1:49" ht="28.5" customHeight="1" x14ac:dyDescent="0.3">
      <c r="A275" s="10" t="s">
        <v>677</v>
      </c>
      <c r="B275" s="10" t="s">
        <v>677</v>
      </c>
      <c r="C275" s="10" t="s">
        <v>677</v>
      </c>
      <c r="D275" s="1">
        <v>0</v>
      </c>
      <c r="E275" s="1">
        <v>0</v>
      </c>
      <c r="F275" s="1">
        <f t="shared" si="80"/>
        <v>0</v>
      </c>
      <c r="G275" s="1">
        <v>0</v>
      </c>
      <c r="H275" s="1">
        <f t="shared" si="81"/>
        <v>0</v>
      </c>
      <c r="I275" s="1">
        <v>0</v>
      </c>
      <c r="J275" s="1">
        <f t="shared" si="82"/>
        <v>0</v>
      </c>
      <c r="K275" s="1">
        <f t="shared" si="83"/>
        <v>0</v>
      </c>
      <c r="L275" s="1">
        <f t="shared" si="84"/>
        <v>0</v>
      </c>
      <c r="M275" s="10" t="s">
        <v>677</v>
      </c>
      <c r="N275" s="10" t="s">
        <v>677</v>
      </c>
      <c r="O275" s="10" t="s">
        <v>677</v>
      </c>
      <c r="P275" s="10" t="s">
        <v>677</v>
      </c>
      <c r="AU275" s="7"/>
      <c r="AV275" s="28">
        <v>0</v>
      </c>
      <c r="AW275" s="3" t="s">
        <v>677</v>
      </c>
    </row>
    <row r="276" spans="1:49" ht="28.5" customHeight="1" x14ac:dyDescent="0.3">
      <c r="A276" s="10" t="s">
        <v>677</v>
      </c>
      <c r="B276" s="10" t="s">
        <v>677</v>
      </c>
      <c r="C276" s="10" t="s">
        <v>677</v>
      </c>
      <c r="D276" s="1">
        <v>0</v>
      </c>
      <c r="E276" s="1">
        <v>0</v>
      </c>
      <c r="F276" s="1">
        <f t="shared" si="80"/>
        <v>0</v>
      </c>
      <c r="G276" s="1">
        <v>0</v>
      </c>
      <c r="H276" s="1">
        <f t="shared" si="81"/>
        <v>0</v>
      </c>
      <c r="I276" s="1">
        <v>0</v>
      </c>
      <c r="J276" s="1">
        <f t="shared" si="82"/>
        <v>0</v>
      </c>
      <c r="K276" s="1">
        <f t="shared" si="83"/>
        <v>0</v>
      </c>
      <c r="L276" s="1">
        <f t="shared" si="84"/>
        <v>0</v>
      </c>
      <c r="M276" s="10" t="s">
        <v>677</v>
      </c>
      <c r="N276" s="10" t="s">
        <v>677</v>
      </c>
      <c r="O276" s="10" t="s">
        <v>677</v>
      </c>
      <c r="P276" s="10" t="s">
        <v>677</v>
      </c>
      <c r="AU276" s="7"/>
      <c r="AV276" s="28">
        <v>0</v>
      </c>
      <c r="AW276" s="3" t="s">
        <v>677</v>
      </c>
    </row>
    <row r="277" spans="1:49" ht="28.5" customHeight="1" x14ac:dyDescent="0.3">
      <c r="A277" s="10" t="s">
        <v>677</v>
      </c>
      <c r="B277" s="10" t="s">
        <v>677</v>
      </c>
      <c r="C277" s="10" t="s">
        <v>677</v>
      </c>
      <c r="D277" s="1">
        <v>0</v>
      </c>
      <c r="E277" s="1">
        <v>0</v>
      </c>
      <c r="F277" s="1">
        <f t="shared" si="80"/>
        <v>0</v>
      </c>
      <c r="G277" s="1">
        <v>0</v>
      </c>
      <c r="H277" s="1">
        <f t="shared" si="81"/>
        <v>0</v>
      </c>
      <c r="I277" s="1">
        <v>0</v>
      </c>
      <c r="J277" s="1">
        <f t="shared" si="82"/>
        <v>0</v>
      </c>
      <c r="K277" s="1">
        <f t="shared" si="83"/>
        <v>0</v>
      </c>
      <c r="L277" s="1">
        <f t="shared" si="84"/>
        <v>0</v>
      </c>
      <c r="M277" s="10" t="s">
        <v>677</v>
      </c>
      <c r="N277" s="10" t="s">
        <v>677</v>
      </c>
      <c r="O277" s="10" t="s">
        <v>677</v>
      </c>
      <c r="P277" s="10" t="s">
        <v>677</v>
      </c>
      <c r="AU277" s="7"/>
      <c r="AV277" s="28">
        <v>0</v>
      </c>
      <c r="AW277" s="3" t="s">
        <v>677</v>
      </c>
    </row>
    <row r="278" spans="1:49" ht="28.5" customHeight="1" x14ac:dyDescent="0.3">
      <c r="A278" s="10" t="s">
        <v>677</v>
      </c>
      <c r="B278" s="10" t="s">
        <v>677</v>
      </c>
      <c r="C278" s="10" t="s">
        <v>677</v>
      </c>
      <c r="D278" s="1">
        <v>0</v>
      </c>
      <c r="E278" s="1">
        <v>0</v>
      </c>
      <c r="F278" s="1">
        <f t="shared" si="80"/>
        <v>0</v>
      </c>
      <c r="G278" s="1">
        <v>0</v>
      </c>
      <c r="H278" s="1">
        <f t="shared" si="81"/>
        <v>0</v>
      </c>
      <c r="I278" s="1">
        <v>0</v>
      </c>
      <c r="J278" s="1">
        <f t="shared" si="82"/>
        <v>0</v>
      </c>
      <c r="K278" s="1">
        <f t="shared" si="83"/>
        <v>0</v>
      </c>
      <c r="L278" s="1">
        <f t="shared" si="84"/>
        <v>0</v>
      </c>
      <c r="M278" s="10" t="s">
        <v>677</v>
      </c>
      <c r="N278" s="10" t="s">
        <v>677</v>
      </c>
      <c r="O278" s="10" t="s">
        <v>677</v>
      </c>
      <c r="P278" s="10" t="s">
        <v>677</v>
      </c>
      <c r="AU278" s="7"/>
      <c r="AV278" s="28">
        <v>0</v>
      </c>
      <c r="AW278" s="3" t="s">
        <v>677</v>
      </c>
    </row>
    <row r="279" spans="1:49" ht="28.5" customHeight="1" x14ac:dyDescent="0.3">
      <c r="A279" s="10" t="s">
        <v>677</v>
      </c>
      <c r="B279" s="10" t="s">
        <v>677</v>
      </c>
      <c r="C279" s="10" t="s">
        <v>677</v>
      </c>
      <c r="D279" s="1">
        <v>0</v>
      </c>
      <c r="E279" s="1">
        <v>0</v>
      </c>
      <c r="F279" s="1">
        <f t="shared" si="80"/>
        <v>0</v>
      </c>
      <c r="G279" s="1">
        <v>0</v>
      </c>
      <c r="H279" s="1">
        <f t="shared" si="81"/>
        <v>0</v>
      </c>
      <c r="I279" s="1">
        <v>0</v>
      </c>
      <c r="J279" s="1">
        <f t="shared" si="82"/>
        <v>0</v>
      </c>
      <c r="K279" s="1">
        <f t="shared" si="83"/>
        <v>0</v>
      </c>
      <c r="L279" s="1">
        <f t="shared" si="84"/>
        <v>0</v>
      </c>
      <c r="M279" s="10" t="s">
        <v>677</v>
      </c>
      <c r="N279" s="10" t="s">
        <v>677</v>
      </c>
      <c r="O279" s="10" t="s">
        <v>677</v>
      </c>
      <c r="P279" s="10" t="s">
        <v>677</v>
      </c>
      <c r="AU279" s="7"/>
      <c r="AV279" s="28">
        <v>0</v>
      </c>
      <c r="AW279" s="3" t="s">
        <v>677</v>
      </c>
    </row>
    <row r="280" spans="1:49" ht="28.5" customHeight="1" x14ac:dyDescent="0.3">
      <c r="A280" s="10" t="s">
        <v>677</v>
      </c>
      <c r="B280" s="10" t="s">
        <v>677</v>
      </c>
      <c r="C280" s="10" t="s">
        <v>677</v>
      </c>
      <c r="D280" s="1">
        <v>0</v>
      </c>
      <c r="E280" s="1">
        <v>0</v>
      </c>
      <c r="F280" s="1">
        <f t="shared" si="80"/>
        <v>0</v>
      </c>
      <c r="G280" s="1">
        <v>0</v>
      </c>
      <c r="H280" s="1">
        <f t="shared" si="81"/>
        <v>0</v>
      </c>
      <c r="I280" s="1">
        <v>0</v>
      </c>
      <c r="J280" s="1">
        <f t="shared" si="82"/>
        <v>0</v>
      </c>
      <c r="K280" s="1">
        <f t="shared" si="83"/>
        <v>0</v>
      </c>
      <c r="L280" s="1">
        <f t="shared" si="84"/>
        <v>0</v>
      </c>
      <c r="M280" s="10" t="s">
        <v>677</v>
      </c>
      <c r="N280" s="10" t="s">
        <v>677</v>
      </c>
      <c r="O280" s="10" t="s">
        <v>677</v>
      </c>
      <c r="P280" s="10" t="s">
        <v>677</v>
      </c>
      <c r="AU280" s="7"/>
      <c r="AV280" s="28">
        <v>0</v>
      </c>
      <c r="AW280" s="3" t="s">
        <v>677</v>
      </c>
    </row>
    <row r="281" spans="1:49" ht="28.5" customHeight="1" x14ac:dyDescent="0.3">
      <c r="A281" s="10" t="s">
        <v>677</v>
      </c>
      <c r="B281" s="10" t="s">
        <v>677</v>
      </c>
      <c r="C281" s="10" t="s">
        <v>677</v>
      </c>
      <c r="D281" s="1">
        <v>0</v>
      </c>
      <c r="E281" s="1">
        <v>0</v>
      </c>
      <c r="F281" s="1">
        <f t="shared" si="80"/>
        <v>0</v>
      </c>
      <c r="G281" s="1">
        <v>0</v>
      </c>
      <c r="H281" s="1">
        <f t="shared" si="81"/>
        <v>0</v>
      </c>
      <c r="I281" s="1">
        <v>0</v>
      </c>
      <c r="J281" s="1">
        <f t="shared" si="82"/>
        <v>0</v>
      </c>
      <c r="K281" s="1">
        <f t="shared" si="83"/>
        <v>0</v>
      </c>
      <c r="L281" s="1">
        <f t="shared" si="84"/>
        <v>0</v>
      </c>
      <c r="M281" s="10" t="s">
        <v>677</v>
      </c>
      <c r="N281" s="10" t="s">
        <v>677</v>
      </c>
      <c r="O281" s="10" t="s">
        <v>677</v>
      </c>
      <c r="P281" s="10" t="s">
        <v>677</v>
      </c>
      <c r="AU281" s="7"/>
      <c r="AV281" s="28">
        <v>0</v>
      </c>
      <c r="AW281" s="3" t="s">
        <v>677</v>
      </c>
    </row>
    <row r="282" spans="1:49" ht="28.5" customHeight="1" x14ac:dyDescent="0.3">
      <c r="A282" s="10" t="s">
        <v>677</v>
      </c>
      <c r="B282" s="10" t="s">
        <v>677</v>
      </c>
      <c r="C282" s="10" t="s">
        <v>677</v>
      </c>
      <c r="D282" s="1">
        <v>0</v>
      </c>
      <c r="E282" s="1">
        <v>0</v>
      </c>
      <c r="F282" s="1">
        <f t="shared" si="80"/>
        <v>0</v>
      </c>
      <c r="G282" s="1">
        <v>0</v>
      </c>
      <c r="H282" s="1">
        <f t="shared" si="81"/>
        <v>0</v>
      </c>
      <c r="I282" s="1">
        <v>0</v>
      </c>
      <c r="J282" s="1">
        <f t="shared" si="82"/>
        <v>0</v>
      </c>
      <c r="K282" s="1">
        <f t="shared" si="83"/>
        <v>0</v>
      </c>
      <c r="L282" s="1">
        <f t="shared" si="84"/>
        <v>0</v>
      </c>
      <c r="M282" s="10" t="s">
        <v>677</v>
      </c>
      <c r="N282" s="10" t="s">
        <v>677</v>
      </c>
      <c r="O282" s="10" t="s">
        <v>677</v>
      </c>
      <c r="P282" s="10" t="s">
        <v>677</v>
      </c>
      <c r="AU282" s="7"/>
      <c r="AV282" s="28">
        <v>0</v>
      </c>
      <c r="AW282" s="3" t="s">
        <v>677</v>
      </c>
    </row>
    <row r="283" spans="1:49" ht="28.5" customHeight="1" x14ac:dyDescent="0.3">
      <c r="A283" s="10" t="s">
        <v>677</v>
      </c>
      <c r="B283" s="10" t="s">
        <v>677</v>
      </c>
      <c r="C283" s="10" t="s">
        <v>677</v>
      </c>
      <c r="D283" s="1">
        <v>0</v>
      </c>
      <c r="E283" s="1">
        <v>0</v>
      </c>
      <c r="F283" s="1">
        <f t="shared" si="80"/>
        <v>0</v>
      </c>
      <c r="G283" s="1">
        <v>0</v>
      </c>
      <c r="H283" s="1">
        <f t="shared" si="81"/>
        <v>0</v>
      </c>
      <c r="I283" s="1">
        <v>0</v>
      </c>
      <c r="J283" s="1">
        <f t="shared" si="82"/>
        <v>0</v>
      </c>
      <c r="K283" s="1">
        <f t="shared" si="83"/>
        <v>0</v>
      </c>
      <c r="L283" s="1">
        <f t="shared" si="84"/>
        <v>0</v>
      </c>
      <c r="M283" s="10" t="s">
        <v>677</v>
      </c>
      <c r="N283" s="10" t="s">
        <v>677</v>
      </c>
      <c r="O283" s="10" t="s">
        <v>677</v>
      </c>
      <c r="P283" s="10" t="s">
        <v>677</v>
      </c>
      <c r="AU283" s="7"/>
      <c r="AV283" s="28">
        <v>0</v>
      </c>
      <c r="AW283" s="3" t="s">
        <v>677</v>
      </c>
    </row>
    <row r="284" spans="1:49" ht="28.5" customHeight="1" x14ac:dyDescent="0.3">
      <c r="A284" s="10" t="s">
        <v>677</v>
      </c>
      <c r="B284" s="10" t="s">
        <v>677</v>
      </c>
      <c r="C284" s="10" t="s">
        <v>677</v>
      </c>
      <c r="D284" s="1">
        <v>0</v>
      </c>
      <c r="E284" s="1">
        <v>0</v>
      </c>
      <c r="F284" s="1">
        <f t="shared" si="80"/>
        <v>0</v>
      </c>
      <c r="G284" s="1">
        <v>0</v>
      </c>
      <c r="H284" s="1">
        <f t="shared" si="81"/>
        <v>0</v>
      </c>
      <c r="I284" s="1">
        <v>0</v>
      </c>
      <c r="J284" s="1">
        <f t="shared" si="82"/>
        <v>0</v>
      </c>
      <c r="K284" s="1">
        <f t="shared" si="83"/>
        <v>0</v>
      </c>
      <c r="L284" s="1">
        <f t="shared" si="84"/>
        <v>0</v>
      </c>
      <c r="M284" s="10" t="s">
        <v>677</v>
      </c>
      <c r="N284" s="10" t="s">
        <v>677</v>
      </c>
      <c r="O284" s="10" t="s">
        <v>677</v>
      </c>
      <c r="P284" s="10" t="s">
        <v>677</v>
      </c>
      <c r="AU284" s="7"/>
      <c r="AV284" s="28">
        <v>0</v>
      </c>
      <c r="AW284" s="3" t="s">
        <v>677</v>
      </c>
    </row>
    <row r="285" spans="1:49" ht="28.5" customHeight="1" x14ac:dyDescent="0.3">
      <c r="A285" s="10" t="s">
        <v>677</v>
      </c>
      <c r="B285" s="10" t="s">
        <v>677</v>
      </c>
      <c r="C285" s="10" t="s">
        <v>677</v>
      </c>
      <c r="D285" s="1">
        <v>0</v>
      </c>
      <c r="E285" s="1">
        <v>0</v>
      </c>
      <c r="F285" s="1">
        <f t="shared" si="80"/>
        <v>0</v>
      </c>
      <c r="G285" s="1">
        <v>0</v>
      </c>
      <c r="H285" s="1">
        <f t="shared" si="81"/>
        <v>0</v>
      </c>
      <c r="I285" s="1">
        <v>0</v>
      </c>
      <c r="J285" s="1">
        <f t="shared" si="82"/>
        <v>0</v>
      </c>
      <c r="K285" s="1">
        <f t="shared" si="83"/>
        <v>0</v>
      </c>
      <c r="L285" s="1">
        <f t="shared" si="84"/>
        <v>0</v>
      </c>
      <c r="M285" s="10" t="s">
        <v>677</v>
      </c>
      <c r="N285" s="10" t="s">
        <v>677</v>
      </c>
      <c r="O285" s="10" t="s">
        <v>677</v>
      </c>
      <c r="P285" s="10" t="s">
        <v>677</v>
      </c>
      <c r="AU285" s="7"/>
      <c r="AV285" s="28">
        <v>0</v>
      </c>
      <c r="AW285" s="3" t="s">
        <v>677</v>
      </c>
    </row>
    <row r="286" spans="1:49" ht="28.5" customHeight="1" x14ac:dyDescent="0.3">
      <c r="A286" s="10" t="s">
        <v>677</v>
      </c>
      <c r="B286" s="10" t="s">
        <v>677</v>
      </c>
      <c r="C286" s="10" t="s">
        <v>677</v>
      </c>
      <c r="D286" s="1">
        <v>0</v>
      </c>
      <c r="E286" s="1">
        <v>0</v>
      </c>
      <c r="F286" s="1">
        <f t="shared" si="80"/>
        <v>0</v>
      </c>
      <c r="G286" s="1">
        <v>0</v>
      </c>
      <c r="H286" s="1">
        <f t="shared" si="81"/>
        <v>0</v>
      </c>
      <c r="I286" s="1">
        <v>0</v>
      </c>
      <c r="J286" s="1">
        <f t="shared" si="82"/>
        <v>0</v>
      </c>
      <c r="K286" s="1">
        <f t="shared" si="83"/>
        <v>0</v>
      </c>
      <c r="L286" s="1">
        <f t="shared" si="84"/>
        <v>0</v>
      </c>
      <c r="M286" s="10" t="s">
        <v>677</v>
      </c>
      <c r="N286" s="10" t="s">
        <v>677</v>
      </c>
      <c r="O286" s="10" t="s">
        <v>677</v>
      </c>
      <c r="P286" s="10" t="s">
        <v>677</v>
      </c>
      <c r="AU286" s="7"/>
      <c r="AV286" s="28">
        <v>0</v>
      </c>
      <c r="AW286" s="3" t="s">
        <v>677</v>
      </c>
    </row>
    <row r="287" spans="1:49" ht="28.5" customHeight="1" x14ac:dyDescent="0.3">
      <c r="A287" s="10" t="s">
        <v>109</v>
      </c>
      <c r="B287" s="10" t="s">
        <v>677</v>
      </c>
      <c r="C287" s="10" t="s">
        <v>677</v>
      </c>
      <c r="D287" s="10" t="s">
        <v>677</v>
      </c>
      <c r="E287" s="27">
        <v>0</v>
      </c>
      <c r="F287" s="1">
        <f>TRUNC(SUMIF(Q263:Q286, Q262,F263:F286),0)</f>
        <v>0</v>
      </c>
      <c r="G287" s="1">
        <v>0</v>
      </c>
      <c r="H287" s="1">
        <f>TRUNC(SUMIF(Q263:Q286, Q262,H263:H286),0)</f>
        <v>0</v>
      </c>
      <c r="I287" s="1">
        <v>0</v>
      </c>
      <c r="J287" s="1">
        <f>TRUNC(SUMIF(Q263:Q286, Q262,J263:J286),0)</f>
        <v>3586721</v>
      </c>
      <c r="K287" s="12" t="s">
        <v>677</v>
      </c>
      <c r="L287" s="1">
        <f>F287+H287+J287</f>
        <v>3586721</v>
      </c>
      <c r="M287" s="10"/>
      <c r="AW287" s="10" t="s">
        <v>677</v>
      </c>
    </row>
  </sheetData>
  <mergeCells count="47">
    <mergeCell ref="A1:AW1"/>
    <mergeCell ref="A2:AW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N3:AN4"/>
    <mergeCell ref="AO3:AO4"/>
    <mergeCell ref="AP3:AP4"/>
    <mergeCell ref="AQ3:AQ4"/>
    <mergeCell ref="AW3:AW4"/>
    <mergeCell ref="AR3:AR4"/>
    <mergeCell ref="AS3:AS4"/>
    <mergeCell ref="AT3:AT4"/>
    <mergeCell ref="AU3:AU4"/>
    <mergeCell ref="AV3:AV4"/>
  </mergeCells>
  <phoneticPr fontId="12" type="noConversion"/>
  <pageMargins left="0.78740157480314954" right="0" top="0.39370078740157477" bottom="0.23622047244094488" header="0" footer="0"/>
  <pageSetup paperSize="9" scale="61" fitToHeight="0" orientation="landscape" r:id="rId1"/>
  <rowBreaks count="11" manualBreakCount="11">
    <brk id="30" man="1"/>
    <brk id="56" man="1"/>
    <brk id="81" man="1"/>
    <brk id="106" man="1"/>
    <brk id="130" man="1"/>
    <brk id="156" man="1"/>
    <brk id="182" man="1"/>
    <brk id="208" man="1"/>
    <brk id="235" man="1"/>
    <brk id="261" man="1"/>
    <brk id="28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N61"/>
  <sheetViews>
    <sheetView view="pageBreakPreview" topLeftCell="A43" zoomScaleNormal="85" zoomScaleSheetLayoutView="100" workbookViewId="0">
      <selection activeCell="B78" sqref="B78"/>
    </sheetView>
  </sheetViews>
  <sheetFormatPr defaultColWidth="9.125" defaultRowHeight="16.5" x14ac:dyDescent="0.3"/>
  <cols>
    <col min="1" max="1" width="11.625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0" hidden="1" customWidth="1"/>
  </cols>
  <sheetData>
    <row r="1" spans="1:14" ht="30" customHeight="1" x14ac:dyDescent="0.3">
      <c r="A1" s="84" t="s">
        <v>603</v>
      </c>
      <c r="B1" s="84"/>
      <c r="C1" s="84"/>
      <c r="D1" s="84"/>
      <c r="E1" s="84"/>
      <c r="F1" s="84"/>
      <c r="G1" s="84"/>
      <c r="H1" s="84"/>
      <c r="I1" s="84"/>
      <c r="J1" s="84"/>
    </row>
    <row r="2" spans="1:14" ht="30" customHeight="1" x14ac:dyDescent="0.3">
      <c r="A2" s="85" t="s">
        <v>1219</v>
      </c>
      <c r="B2" s="85"/>
      <c r="C2" s="85"/>
      <c r="D2" s="85"/>
      <c r="E2" s="85"/>
      <c r="F2" s="85"/>
      <c r="G2" s="85"/>
      <c r="H2" s="85"/>
      <c r="I2" s="85"/>
      <c r="J2" s="85"/>
    </row>
    <row r="3" spans="1:14" ht="30" customHeight="1" x14ac:dyDescent="0.3">
      <c r="A3" s="20" t="s">
        <v>975</v>
      </c>
      <c r="B3" s="20" t="s">
        <v>265</v>
      </c>
      <c r="C3" s="20" t="s">
        <v>3</v>
      </c>
      <c r="D3" s="20" t="s">
        <v>812</v>
      </c>
      <c r="E3" s="20" t="s">
        <v>871</v>
      </c>
      <c r="F3" s="20" t="s">
        <v>259</v>
      </c>
      <c r="G3" s="20" t="s">
        <v>197</v>
      </c>
      <c r="H3" s="20" t="s">
        <v>940</v>
      </c>
      <c r="I3" s="20" t="s">
        <v>804</v>
      </c>
      <c r="J3" s="20" t="s">
        <v>306</v>
      </c>
      <c r="K3" s="19" t="s">
        <v>768</v>
      </c>
      <c r="L3" s="29" t="s">
        <v>448</v>
      </c>
      <c r="M3" s="29" t="s">
        <v>261</v>
      </c>
      <c r="N3" s="29" t="s">
        <v>183</v>
      </c>
    </row>
    <row r="4" spans="1:14" ht="30" customHeight="1" x14ac:dyDescent="0.3">
      <c r="A4" s="10" t="s">
        <v>637</v>
      </c>
      <c r="B4" s="10" t="s">
        <v>1014</v>
      </c>
      <c r="C4" s="10" t="s">
        <v>921</v>
      </c>
      <c r="D4" s="10" t="s">
        <v>434</v>
      </c>
      <c r="E4" s="27">
        <f>일위대가!F10</f>
        <v>0</v>
      </c>
      <c r="F4" s="27">
        <f>일위대가!H10</f>
        <v>0</v>
      </c>
      <c r="G4" s="27">
        <f>일위대가!J10</f>
        <v>587132</v>
      </c>
      <c r="H4" s="27">
        <f t="shared" ref="H4:H35" si="0">E4+F4+G4</f>
        <v>587132</v>
      </c>
      <c r="I4" s="23" t="str">
        <f>HYPERLINK("#일위대가!A5", "호표 1")</f>
        <v>호표 1</v>
      </c>
      <c r="J4" s="10" t="s">
        <v>388</v>
      </c>
      <c r="K4" s="10" t="s">
        <v>677</v>
      </c>
      <c r="L4" s="10"/>
      <c r="M4" s="10" t="s">
        <v>388</v>
      </c>
      <c r="N4" s="10" t="s">
        <v>677</v>
      </c>
    </row>
    <row r="5" spans="1:14" ht="30" customHeight="1" x14ac:dyDescent="0.3">
      <c r="A5" s="10" t="s">
        <v>428</v>
      </c>
      <c r="B5" s="10" t="s">
        <v>256</v>
      </c>
      <c r="C5" s="10" t="s">
        <v>677</v>
      </c>
      <c r="D5" s="10" t="s">
        <v>801</v>
      </c>
      <c r="E5" s="27">
        <f>일위대가!F16</f>
        <v>150000</v>
      </c>
      <c r="F5" s="27">
        <f>일위대가!H16</f>
        <v>18440</v>
      </c>
      <c r="G5" s="27">
        <f>일위대가!J16</f>
        <v>0</v>
      </c>
      <c r="H5" s="27">
        <f t="shared" si="0"/>
        <v>168440</v>
      </c>
      <c r="I5" s="23" t="str">
        <f>HYPERLINK("#일위대가!A12", "호표 2")</f>
        <v>호표 2</v>
      </c>
      <c r="J5" s="10" t="s">
        <v>27</v>
      </c>
      <c r="K5" s="10"/>
      <c r="L5" s="10"/>
      <c r="M5" s="10" t="s">
        <v>27</v>
      </c>
      <c r="N5" s="10"/>
    </row>
    <row r="6" spans="1:14" ht="30" customHeight="1" x14ac:dyDescent="0.3">
      <c r="A6" s="10" t="s">
        <v>1027</v>
      </c>
      <c r="B6" s="10" t="s">
        <v>61</v>
      </c>
      <c r="C6" s="10" t="s">
        <v>440</v>
      </c>
      <c r="D6" s="10" t="s">
        <v>71</v>
      </c>
      <c r="E6" s="27">
        <f>일위대가!F24</f>
        <v>8020</v>
      </c>
      <c r="F6" s="27">
        <f>일위대가!H24</f>
        <v>188589</v>
      </c>
      <c r="G6" s="27">
        <f>일위대가!J24</f>
        <v>1536</v>
      </c>
      <c r="H6" s="27">
        <f t="shared" si="0"/>
        <v>198145</v>
      </c>
      <c r="I6" s="23" t="str">
        <f>HYPERLINK("#일위대가!A17", "호표 3")</f>
        <v>호표 3</v>
      </c>
      <c r="J6" s="10" t="s">
        <v>79</v>
      </c>
      <c r="K6" s="10"/>
      <c r="L6" s="10"/>
      <c r="M6" s="10" t="s">
        <v>79</v>
      </c>
      <c r="N6" s="10"/>
    </row>
    <row r="7" spans="1:14" ht="30" customHeight="1" x14ac:dyDescent="0.3">
      <c r="A7" s="10" t="s">
        <v>219</v>
      </c>
      <c r="B7" s="10" t="s">
        <v>995</v>
      </c>
      <c r="C7" s="10" t="s">
        <v>298</v>
      </c>
      <c r="D7" s="10" t="s">
        <v>71</v>
      </c>
      <c r="E7" s="27">
        <f>일위대가!F29</f>
        <v>2813</v>
      </c>
      <c r="F7" s="27">
        <f>일위대가!H29</f>
        <v>28886</v>
      </c>
      <c r="G7" s="27">
        <f>일위대가!J29</f>
        <v>3594</v>
      </c>
      <c r="H7" s="27">
        <f t="shared" si="0"/>
        <v>35293</v>
      </c>
      <c r="I7" s="23" t="str">
        <f>HYPERLINK("#일위대가!A25", "호표 4")</f>
        <v>호표 4</v>
      </c>
      <c r="J7" s="10" t="s">
        <v>659</v>
      </c>
      <c r="K7" s="10"/>
      <c r="L7" s="10"/>
      <c r="M7" s="10" t="s">
        <v>659</v>
      </c>
      <c r="N7" s="10"/>
    </row>
    <row r="8" spans="1:14" ht="30" customHeight="1" x14ac:dyDescent="0.3">
      <c r="A8" s="10" t="s">
        <v>1045</v>
      </c>
      <c r="B8" s="10" t="s">
        <v>1091</v>
      </c>
      <c r="C8" s="10" t="s">
        <v>1011</v>
      </c>
      <c r="D8" s="10" t="s">
        <v>71</v>
      </c>
      <c r="E8" s="27">
        <f>일위대가!F35</f>
        <v>20750</v>
      </c>
      <c r="F8" s="27">
        <f>일위대가!H35</f>
        <v>3357</v>
      </c>
      <c r="G8" s="27">
        <f>일위대가!J35</f>
        <v>888</v>
      </c>
      <c r="H8" s="27">
        <f t="shared" si="0"/>
        <v>24995</v>
      </c>
      <c r="I8" s="23" t="str">
        <f>HYPERLINK("#일위대가!A30", "호표 5")</f>
        <v>호표 5</v>
      </c>
      <c r="J8" s="10" t="s">
        <v>673</v>
      </c>
      <c r="K8" s="10" t="s">
        <v>677</v>
      </c>
      <c r="L8" s="10"/>
      <c r="M8" s="10" t="s">
        <v>673</v>
      </c>
      <c r="N8" s="10" t="s">
        <v>677</v>
      </c>
    </row>
    <row r="9" spans="1:14" ht="30" customHeight="1" x14ac:dyDescent="0.3">
      <c r="A9" s="10" t="s">
        <v>532</v>
      </c>
      <c r="B9" s="10" t="s">
        <v>124</v>
      </c>
      <c r="C9" s="10" t="s">
        <v>835</v>
      </c>
      <c r="D9" s="10" t="s">
        <v>71</v>
      </c>
      <c r="E9" s="27">
        <f>일위대가!F42</f>
        <v>2602</v>
      </c>
      <c r="F9" s="27">
        <f>일위대가!H42</f>
        <v>21549</v>
      </c>
      <c r="G9" s="27">
        <f>일위대가!J42</f>
        <v>2014</v>
      </c>
      <c r="H9" s="27">
        <f t="shared" si="0"/>
        <v>26165</v>
      </c>
      <c r="I9" s="23" t="str">
        <f>HYPERLINK("#일위대가!A35", "호표 6")</f>
        <v>호표 6</v>
      </c>
      <c r="J9" s="10" t="s">
        <v>255</v>
      </c>
      <c r="K9" s="10"/>
      <c r="L9" s="10"/>
      <c r="M9" s="10" t="s">
        <v>255</v>
      </c>
      <c r="N9" s="10"/>
    </row>
    <row r="10" spans="1:14" ht="30" customHeight="1" x14ac:dyDescent="0.3">
      <c r="A10" s="10" t="s">
        <v>920</v>
      </c>
      <c r="B10" s="10" t="s">
        <v>728</v>
      </c>
      <c r="C10" s="10" t="s">
        <v>449</v>
      </c>
      <c r="D10" s="10" t="s">
        <v>801</v>
      </c>
      <c r="E10" s="27">
        <f>일위대가!F48</f>
        <v>5418</v>
      </c>
      <c r="F10" s="27">
        <f>일위대가!H48</f>
        <v>1154</v>
      </c>
      <c r="G10" s="27">
        <f>일위대가!J48</f>
        <v>0</v>
      </c>
      <c r="H10" s="27">
        <f t="shared" si="0"/>
        <v>6572</v>
      </c>
      <c r="I10" s="23" t="str">
        <f>HYPERLINK("#일위대가!A42", "호표 7")</f>
        <v>호표 7</v>
      </c>
      <c r="J10" s="10" t="s">
        <v>62</v>
      </c>
      <c r="K10" s="10" t="s">
        <v>677</v>
      </c>
      <c r="L10" s="10"/>
      <c r="M10" s="10" t="s">
        <v>62</v>
      </c>
      <c r="N10" s="10" t="s">
        <v>677</v>
      </c>
    </row>
    <row r="11" spans="1:14" ht="30" customHeight="1" x14ac:dyDescent="0.3">
      <c r="A11" s="10" t="s">
        <v>783</v>
      </c>
      <c r="B11" s="10" t="s">
        <v>36</v>
      </c>
      <c r="C11" s="10" t="s">
        <v>1011</v>
      </c>
      <c r="D11" s="10" t="s">
        <v>71</v>
      </c>
      <c r="E11" s="27">
        <f>일위대가!F53</f>
        <v>1001</v>
      </c>
      <c r="F11" s="27">
        <f>일위대가!H53</f>
        <v>5360</v>
      </c>
      <c r="G11" s="27">
        <f>일위대가!J53</f>
        <v>930</v>
      </c>
      <c r="H11" s="27">
        <f t="shared" si="0"/>
        <v>7291</v>
      </c>
      <c r="I11" s="23" t="str">
        <f>HYPERLINK("#일위대가!A48", "호표 8")</f>
        <v>호표 8</v>
      </c>
      <c r="J11" s="10" t="s">
        <v>673</v>
      </c>
      <c r="K11" s="10" t="s">
        <v>677</v>
      </c>
      <c r="L11" s="10"/>
      <c r="M11" s="10" t="s">
        <v>673</v>
      </c>
      <c r="N11" s="10" t="s">
        <v>677</v>
      </c>
    </row>
    <row r="12" spans="1:14" ht="30" customHeight="1" x14ac:dyDescent="0.3">
      <c r="A12" s="10" t="s">
        <v>894</v>
      </c>
      <c r="B12" s="10" t="s">
        <v>83</v>
      </c>
      <c r="C12" s="10" t="s">
        <v>1122</v>
      </c>
      <c r="D12" s="10" t="s">
        <v>242</v>
      </c>
      <c r="E12" s="27">
        <f>일위대가!F62</f>
        <v>5125</v>
      </c>
      <c r="F12" s="27">
        <f>일위대가!H62</f>
        <v>25093</v>
      </c>
      <c r="G12" s="27">
        <f>일위대가!J62</f>
        <v>705</v>
      </c>
      <c r="H12" s="27">
        <f t="shared" si="0"/>
        <v>30923</v>
      </c>
      <c r="I12" s="23" t="str">
        <f>HYPERLINK("#일위대가!A53", "호표 9")</f>
        <v>호표 9</v>
      </c>
      <c r="J12" s="10" t="s">
        <v>677</v>
      </c>
      <c r="K12" s="10"/>
      <c r="L12" s="10"/>
      <c r="M12" s="10" t="s">
        <v>677</v>
      </c>
      <c r="N12" s="10" t="s">
        <v>677</v>
      </c>
    </row>
    <row r="13" spans="1:14" ht="30" customHeight="1" x14ac:dyDescent="0.3">
      <c r="A13" s="10" t="s">
        <v>895</v>
      </c>
      <c r="B13" s="10" t="s">
        <v>1144</v>
      </c>
      <c r="C13" s="10" t="s">
        <v>1146</v>
      </c>
      <c r="D13" s="10" t="s">
        <v>1050</v>
      </c>
      <c r="E13" s="27">
        <f>일위대가!F69</f>
        <v>13388</v>
      </c>
      <c r="F13" s="27">
        <f>일위대가!H69</f>
        <v>7333</v>
      </c>
      <c r="G13" s="27">
        <f>일위대가!J69</f>
        <v>0</v>
      </c>
      <c r="H13" s="27">
        <f t="shared" si="0"/>
        <v>20721</v>
      </c>
      <c r="I13" s="23" t="str">
        <f>HYPERLINK("#일위대가!A62", "호표 10")</f>
        <v>호표 10</v>
      </c>
      <c r="J13" s="10" t="s">
        <v>836</v>
      </c>
      <c r="K13" s="10" t="s">
        <v>677</v>
      </c>
      <c r="L13" s="10"/>
      <c r="M13" s="10" t="s">
        <v>836</v>
      </c>
      <c r="N13" s="10" t="s">
        <v>677</v>
      </c>
    </row>
    <row r="14" spans="1:14" ht="30" customHeight="1" x14ac:dyDescent="0.3">
      <c r="A14" s="10" t="s">
        <v>283</v>
      </c>
      <c r="B14" s="10" t="s">
        <v>1284</v>
      </c>
      <c r="C14" s="10" t="s">
        <v>1048</v>
      </c>
      <c r="D14" s="10" t="s">
        <v>801</v>
      </c>
      <c r="E14" s="27">
        <f>일위대가!F75</f>
        <v>982</v>
      </c>
      <c r="F14" s="27">
        <f>일위대가!H75</f>
        <v>49124</v>
      </c>
      <c r="G14" s="27">
        <f>일위대가!J75</f>
        <v>0</v>
      </c>
      <c r="H14" s="27">
        <f t="shared" si="0"/>
        <v>50106</v>
      </c>
      <c r="I14" s="23" t="str">
        <f>HYPERLINK("#일위대가!A68", "호표 11")</f>
        <v>호표 11</v>
      </c>
      <c r="J14" s="10" t="s">
        <v>1042</v>
      </c>
      <c r="K14" s="10"/>
      <c r="L14" s="10"/>
      <c r="M14" s="10" t="s">
        <v>1042</v>
      </c>
      <c r="N14" s="10"/>
    </row>
    <row r="15" spans="1:14" ht="30" customHeight="1" x14ac:dyDescent="0.3">
      <c r="A15" s="10" t="s">
        <v>902</v>
      </c>
      <c r="B15" s="10" t="s">
        <v>1133</v>
      </c>
      <c r="C15" s="10" t="s">
        <v>1134</v>
      </c>
      <c r="D15" s="10" t="s">
        <v>1130</v>
      </c>
      <c r="E15" s="27">
        <f>일위대가!F80</f>
        <v>3605</v>
      </c>
      <c r="F15" s="27">
        <f>일위대가!H80</f>
        <v>8416</v>
      </c>
      <c r="G15" s="27">
        <f>일위대가!J80</f>
        <v>0</v>
      </c>
      <c r="H15" s="27">
        <f t="shared" si="0"/>
        <v>12021</v>
      </c>
      <c r="I15" s="23" t="str">
        <f>HYPERLINK("#일위대가!A74", "호표 12")</f>
        <v>호표 12</v>
      </c>
      <c r="J15" s="10" t="s">
        <v>677</v>
      </c>
      <c r="K15" s="10" t="s">
        <v>677</v>
      </c>
      <c r="L15" s="10"/>
      <c r="M15" s="10" t="s">
        <v>677</v>
      </c>
      <c r="N15" s="10" t="s">
        <v>677</v>
      </c>
    </row>
    <row r="16" spans="1:14" ht="30" customHeight="1" x14ac:dyDescent="0.3">
      <c r="A16" s="10" t="s">
        <v>46</v>
      </c>
      <c r="B16" s="10" t="s">
        <v>0</v>
      </c>
      <c r="C16" s="10" t="s">
        <v>11</v>
      </c>
      <c r="D16" s="10" t="s">
        <v>801</v>
      </c>
      <c r="E16" s="27">
        <f>일위대가!F85</f>
        <v>1190</v>
      </c>
      <c r="F16" s="27">
        <f>일위대가!H85</f>
        <v>10661</v>
      </c>
      <c r="G16" s="27">
        <f>일위대가!J85</f>
        <v>0</v>
      </c>
      <c r="H16" s="27">
        <f t="shared" si="0"/>
        <v>11851</v>
      </c>
      <c r="I16" s="23" t="str">
        <f>HYPERLINK("#일위대가!A79", "호표 13")</f>
        <v>호표 13</v>
      </c>
      <c r="J16" s="10" t="s">
        <v>737</v>
      </c>
      <c r="K16" s="10" t="s">
        <v>677</v>
      </c>
      <c r="L16" s="10"/>
      <c r="M16" s="10" t="s">
        <v>737</v>
      </c>
      <c r="N16" s="10" t="s">
        <v>677</v>
      </c>
    </row>
    <row r="17" spans="1:14" ht="30" customHeight="1" x14ac:dyDescent="0.3">
      <c r="A17" s="10" t="s">
        <v>189</v>
      </c>
      <c r="B17" s="10" t="s">
        <v>84</v>
      </c>
      <c r="C17" s="10" t="s">
        <v>1139</v>
      </c>
      <c r="D17" s="10" t="s">
        <v>1137</v>
      </c>
      <c r="E17" s="27">
        <f>일위대가!F90</f>
        <v>0</v>
      </c>
      <c r="F17" s="27">
        <f>일위대가!H90</f>
        <v>961</v>
      </c>
      <c r="G17" s="27">
        <f>일위대가!J90</f>
        <v>0</v>
      </c>
      <c r="H17" s="27">
        <f t="shared" si="0"/>
        <v>961</v>
      </c>
      <c r="I17" s="23" t="str">
        <f>HYPERLINK("#일위대가!A84", "호표 14")</f>
        <v>호표 14</v>
      </c>
      <c r="J17" s="10" t="s">
        <v>989</v>
      </c>
      <c r="K17" s="10"/>
      <c r="L17" s="10"/>
      <c r="M17" s="10" t="s">
        <v>989</v>
      </c>
      <c r="N17" s="10"/>
    </row>
    <row r="18" spans="1:14" ht="30" customHeight="1" x14ac:dyDescent="0.3">
      <c r="A18" s="10" t="s">
        <v>669</v>
      </c>
      <c r="B18" s="10" t="s">
        <v>124</v>
      </c>
      <c r="C18" s="10" t="s">
        <v>269</v>
      </c>
      <c r="D18" s="10" t="s">
        <v>71</v>
      </c>
      <c r="E18" s="27">
        <f>일위대가!F97</f>
        <v>2900</v>
      </c>
      <c r="F18" s="27">
        <f>일위대가!H97</f>
        <v>24389</v>
      </c>
      <c r="G18" s="27">
        <f>일위대가!J97</f>
        <v>2238</v>
      </c>
      <c r="H18" s="27">
        <f t="shared" si="0"/>
        <v>29527</v>
      </c>
      <c r="I18" s="23" t="str">
        <f>HYPERLINK("#일위대가!A89", "호표 15")</f>
        <v>호표 15</v>
      </c>
      <c r="J18" s="10" t="s">
        <v>255</v>
      </c>
      <c r="K18" s="10"/>
      <c r="L18" s="10"/>
      <c r="M18" s="10" t="s">
        <v>255</v>
      </c>
      <c r="N18" s="10"/>
    </row>
    <row r="19" spans="1:14" ht="30" customHeight="1" x14ac:dyDescent="0.3">
      <c r="A19" s="10" t="s">
        <v>508</v>
      </c>
      <c r="B19" s="10" t="s">
        <v>948</v>
      </c>
      <c r="C19" s="10" t="s">
        <v>251</v>
      </c>
      <c r="D19" s="10" t="s">
        <v>1038</v>
      </c>
      <c r="E19" s="27">
        <f>일위대가!F102</f>
        <v>1020000</v>
      </c>
      <c r="F19" s="27">
        <f>일위대가!H102</f>
        <v>0</v>
      </c>
      <c r="G19" s="27">
        <f>일위대가!J102</f>
        <v>0</v>
      </c>
      <c r="H19" s="27">
        <f t="shared" si="0"/>
        <v>1020000</v>
      </c>
      <c r="I19" s="23" t="str">
        <f>HYPERLINK("#일위대가!A96", "호표 16")</f>
        <v>호표 16</v>
      </c>
      <c r="J19" s="10"/>
      <c r="K19" s="10" t="s">
        <v>677</v>
      </c>
      <c r="L19" s="10"/>
      <c r="M19" s="10"/>
      <c r="N19" s="10" t="s">
        <v>677</v>
      </c>
    </row>
    <row r="20" spans="1:14" ht="30" customHeight="1" x14ac:dyDescent="0.3">
      <c r="A20" s="10" t="s">
        <v>749</v>
      </c>
      <c r="B20" s="10" t="s">
        <v>421</v>
      </c>
      <c r="C20" s="10" t="s">
        <v>506</v>
      </c>
      <c r="D20" s="10" t="s">
        <v>1038</v>
      </c>
      <c r="E20" s="27">
        <f>일위대가!F107</f>
        <v>9906</v>
      </c>
      <c r="F20" s="27">
        <f>일위대가!H107</f>
        <v>958468</v>
      </c>
      <c r="G20" s="27">
        <f>일위대가!J107</f>
        <v>28071</v>
      </c>
      <c r="H20" s="27">
        <f t="shared" si="0"/>
        <v>996445</v>
      </c>
      <c r="I20" s="23" t="str">
        <f>HYPERLINK("#일위대가!A101", "호표 17")</f>
        <v>호표 17</v>
      </c>
      <c r="J20" s="10" t="s">
        <v>407</v>
      </c>
      <c r="K20" s="10"/>
      <c r="L20" s="10"/>
      <c r="M20" s="10" t="s">
        <v>407</v>
      </c>
      <c r="N20" s="10"/>
    </row>
    <row r="21" spans="1:14" ht="30" customHeight="1" x14ac:dyDescent="0.3">
      <c r="A21" s="10" t="s">
        <v>311</v>
      </c>
      <c r="B21" s="10" t="s">
        <v>690</v>
      </c>
      <c r="C21" s="10" t="s">
        <v>326</v>
      </c>
      <c r="D21" s="10" t="s">
        <v>801</v>
      </c>
      <c r="E21" s="27">
        <f>일위대가!F112</f>
        <v>2998</v>
      </c>
      <c r="F21" s="27">
        <f>일위대가!H112</f>
        <v>27711</v>
      </c>
      <c r="G21" s="27">
        <f>일위대가!J112</f>
        <v>831</v>
      </c>
      <c r="H21" s="27">
        <f t="shared" si="0"/>
        <v>31540</v>
      </c>
      <c r="I21" s="23" t="str">
        <f>HYPERLINK("#일위대가!A106", "호표 18")</f>
        <v>호표 18</v>
      </c>
      <c r="J21" s="10" t="s">
        <v>377</v>
      </c>
      <c r="K21" s="10"/>
      <c r="L21" s="10"/>
      <c r="M21" s="10" t="s">
        <v>377</v>
      </c>
      <c r="N21" s="10"/>
    </row>
    <row r="22" spans="1:14" ht="30" customHeight="1" x14ac:dyDescent="0.3">
      <c r="A22" s="10" t="s">
        <v>923</v>
      </c>
      <c r="B22" s="10" t="s">
        <v>706</v>
      </c>
      <c r="C22" s="10" t="s">
        <v>901</v>
      </c>
      <c r="D22" s="10" t="s">
        <v>858</v>
      </c>
      <c r="E22" s="27">
        <f>일위대가!F118</f>
        <v>462</v>
      </c>
      <c r="F22" s="27">
        <f>일위대가!H118</f>
        <v>23108</v>
      </c>
      <c r="G22" s="27">
        <f>일위대가!J118</f>
        <v>0</v>
      </c>
      <c r="H22" s="27">
        <f t="shared" si="0"/>
        <v>23570</v>
      </c>
      <c r="I22" s="23" t="str">
        <f>HYPERLINK("#일위대가!A111", "호표 19")</f>
        <v>호표 19</v>
      </c>
      <c r="J22" s="10" t="s">
        <v>614</v>
      </c>
      <c r="K22" s="10"/>
      <c r="L22" s="10"/>
      <c r="M22" s="10" t="s">
        <v>614</v>
      </c>
      <c r="N22" s="10"/>
    </row>
    <row r="23" spans="1:14" ht="30" customHeight="1" x14ac:dyDescent="0.3">
      <c r="A23" s="10" t="s">
        <v>158</v>
      </c>
      <c r="B23" s="10" t="s">
        <v>304</v>
      </c>
      <c r="C23" s="10" t="s">
        <v>587</v>
      </c>
      <c r="D23" s="10" t="s">
        <v>933</v>
      </c>
      <c r="E23" s="27">
        <f>일위대가!F125</f>
        <v>381</v>
      </c>
      <c r="F23" s="27">
        <f>일위대가!H125</f>
        <v>9549</v>
      </c>
      <c r="G23" s="27">
        <f>일위대가!J125</f>
        <v>0</v>
      </c>
      <c r="H23" s="27">
        <f t="shared" si="0"/>
        <v>9930</v>
      </c>
      <c r="I23" s="23" t="str">
        <f>HYPERLINK("#일위대가!A117", "호표 20")</f>
        <v>호표 20</v>
      </c>
      <c r="J23" s="10" t="s">
        <v>838</v>
      </c>
      <c r="K23" s="10"/>
      <c r="L23" s="10"/>
      <c r="M23" s="10" t="s">
        <v>838</v>
      </c>
      <c r="N23" s="10"/>
    </row>
    <row r="24" spans="1:14" ht="30" customHeight="1" x14ac:dyDescent="0.3">
      <c r="A24" s="10" t="s">
        <v>215</v>
      </c>
      <c r="B24" s="10" t="s">
        <v>383</v>
      </c>
      <c r="C24" s="10" t="s">
        <v>818</v>
      </c>
      <c r="D24" s="10" t="s">
        <v>801</v>
      </c>
      <c r="E24" s="27">
        <f>일위대가!F135</f>
        <v>26989</v>
      </c>
      <c r="F24" s="27">
        <f>일위대가!H135</f>
        <v>57940</v>
      </c>
      <c r="G24" s="27">
        <f>일위대가!J135</f>
        <v>0</v>
      </c>
      <c r="H24" s="27">
        <f t="shared" si="0"/>
        <v>84929</v>
      </c>
      <c r="I24" s="23" t="str">
        <f>HYPERLINK("#일위대가!A124", "호표 21")</f>
        <v>호표 21</v>
      </c>
      <c r="J24" s="10" t="s">
        <v>529</v>
      </c>
      <c r="K24" s="10"/>
      <c r="L24" s="10"/>
      <c r="M24" s="10" t="s">
        <v>529</v>
      </c>
      <c r="N24" s="10"/>
    </row>
    <row r="25" spans="1:14" ht="30" customHeight="1" x14ac:dyDescent="0.3">
      <c r="A25" s="10" t="s">
        <v>1192</v>
      </c>
      <c r="B25" s="10" t="s">
        <v>1196</v>
      </c>
      <c r="C25" s="10" t="s">
        <v>677</v>
      </c>
      <c r="D25" s="10" t="s">
        <v>933</v>
      </c>
      <c r="E25" s="27">
        <f>일위대가!F141</f>
        <v>4339</v>
      </c>
      <c r="F25" s="27">
        <f>일위대가!H141</f>
        <v>42932</v>
      </c>
      <c r="G25" s="27">
        <f>일위대가!J141</f>
        <v>3838</v>
      </c>
      <c r="H25" s="27">
        <f t="shared" si="0"/>
        <v>51109</v>
      </c>
      <c r="I25" s="34" t="str">
        <f>HYPERLINK("#일위대가!A140", "호표 22")</f>
        <v>호표 22</v>
      </c>
      <c r="J25" s="10" t="s">
        <v>1197</v>
      </c>
      <c r="K25" s="10" t="s">
        <v>677</v>
      </c>
      <c r="L25" s="10"/>
      <c r="M25" s="10" t="s">
        <v>1197</v>
      </c>
      <c r="N25" s="10" t="s">
        <v>677</v>
      </c>
    </row>
    <row r="26" spans="1:14" ht="30" customHeight="1" x14ac:dyDescent="0.3">
      <c r="A26" s="10" t="s">
        <v>38</v>
      </c>
      <c r="B26" s="10" t="s">
        <v>416</v>
      </c>
      <c r="C26" s="10" t="s">
        <v>1294</v>
      </c>
      <c r="D26" s="10" t="s">
        <v>427</v>
      </c>
      <c r="E26" s="27">
        <f>일위대가!F146</f>
        <v>2049</v>
      </c>
      <c r="F26" s="27">
        <f>일위대가!H146</f>
        <v>412</v>
      </c>
      <c r="G26" s="27">
        <f>일위대가!J146</f>
        <v>0</v>
      </c>
      <c r="H26" s="27">
        <f t="shared" si="0"/>
        <v>2461</v>
      </c>
      <c r="I26" s="23" t="str">
        <f>HYPERLINK("#일위대가!A138", "호표 23")</f>
        <v>호표 23</v>
      </c>
      <c r="J26" s="10" t="s">
        <v>677</v>
      </c>
      <c r="K26" s="10" t="s">
        <v>677</v>
      </c>
      <c r="L26" s="10"/>
      <c r="M26" s="10" t="s">
        <v>677</v>
      </c>
      <c r="N26" s="10" t="s">
        <v>677</v>
      </c>
    </row>
    <row r="27" spans="1:14" ht="30" customHeight="1" x14ac:dyDescent="0.3">
      <c r="A27" s="10" t="s">
        <v>970</v>
      </c>
      <c r="B27" s="10" t="s">
        <v>915</v>
      </c>
      <c r="C27" s="10" t="s">
        <v>420</v>
      </c>
      <c r="D27" s="10" t="s">
        <v>801</v>
      </c>
      <c r="E27" s="27">
        <f>일위대가!F150</f>
        <v>0</v>
      </c>
      <c r="F27" s="27">
        <f>일위대가!H150</f>
        <v>153671</v>
      </c>
      <c r="G27" s="27">
        <f>일위대가!J150</f>
        <v>0</v>
      </c>
      <c r="H27" s="27">
        <f t="shared" si="0"/>
        <v>153671</v>
      </c>
      <c r="I27" s="23" t="str">
        <f>HYPERLINK("#일위대가!A143", "호표 24")</f>
        <v>호표 24</v>
      </c>
      <c r="J27" s="10" t="s">
        <v>971</v>
      </c>
      <c r="K27" s="10" t="s">
        <v>677</v>
      </c>
      <c r="L27" s="10"/>
      <c r="M27" s="10" t="s">
        <v>971</v>
      </c>
      <c r="N27" s="10" t="s">
        <v>677</v>
      </c>
    </row>
    <row r="28" spans="1:14" ht="30" customHeight="1" x14ac:dyDescent="0.3">
      <c r="A28" s="10" t="s">
        <v>1001</v>
      </c>
      <c r="B28" s="10" t="s">
        <v>451</v>
      </c>
      <c r="C28" s="10" t="s">
        <v>696</v>
      </c>
      <c r="D28" s="10" t="s">
        <v>924</v>
      </c>
      <c r="E28" s="27">
        <f>일위대가!F154</f>
        <v>0</v>
      </c>
      <c r="F28" s="27">
        <f>일위대가!H154</f>
        <v>0</v>
      </c>
      <c r="G28" s="27">
        <f>일위대가!J154</f>
        <v>2016</v>
      </c>
      <c r="H28" s="27">
        <f t="shared" si="0"/>
        <v>2016</v>
      </c>
      <c r="I28" s="23" t="str">
        <f>HYPERLINK("#일위대가!A147", "호표 25")</f>
        <v>호표 25</v>
      </c>
      <c r="J28" s="10" t="s">
        <v>677</v>
      </c>
      <c r="K28" s="10"/>
      <c r="L28" s="10"/>
      <c r="M28" s="10" t="s">
        <v>677</v>
      </c>
      <c r="N28" s="10" t="s">
        <v>677</v>
      </c>
    </row>
    <row r="29" spans="1:14" ht="30" customHeight="1" x14ac:dyDescent="0.3">
      <c r="A29" s="10" t="s">
        <v>419</v>
      </c>
      <c r="B29" s="10" t="s">
        <v>360</v>
      </c>
      <c r="C29" s="10" t="s">
        <v>953</v>
      </c>
      <c r="D29" s="10" t="s">
        <v>924</v>
      </c>
      <c r="E29" s="27">
        <f>일위대가!F158</f>
        <v>0</v>
      </c>
      <c r="F29" s="27">
        <f>일위대가!H158</f>
        <v>0</v>
      </c>
      <c r="G29" s="27">
        <f>일위대가!J158</f>
        <v>13210</v>
      </c>
      <c r="H29" s="27">
        <f t="shared" si="0"/>
        <v>13210</v>
      </c>
      <c r="I29" s="23" t="str">
        <f>HYPERLINK("#일위대가!A151", "호표 26")</f>
        <v>호표 26</v>
      </c>
      <c r="J29" s="10" t="s">
        <v>677</v>
      </c>
      <c r="K29" s="10"/>
      <c r="L29" s="10"/>
      <c r="M29" s="10" t="s">
        <v>677</v>
      </c>
      <c r="N29" s="10" t="s">
        <v>677</v>
      </c>
    </row>
    <row r="30" spans="1:14" ht="30" customHeight="1" x14ac:dyDescent="0.3">
      <c r="A30" s="10" t="s">
        <v>179</v>
      </c>
      <c r="B30" s="10" t="s">
        <v>959</v>
      </c>
      <c r="C30" s="10" t="s">
        <v>131</v>
      </c>
      <c r="D30" s="10" t="s">
        <v>434</v>
      </c>
      <c r="E30" s="27">
        <f>일위대가!F165</f>
        <v>0</v>
      </c>
      <c r="F30" s="27">
        <f>일위대가!H165</f>
        <v>0</v>
      </c>
      <c r="G30" s="27">
        <f>일위대가!J165</f>
        <v>131566</v>
      </c>
      <c r="H30" s="27">
        <f t="shared" si="0"/>
        <v>131566</v>
      </c>
      <c r="I30" s="23" t="str">
        <f>HYPERLINK("#일위대가!A155", "호표 27")</f>
        <v>호표 27</v>
      </c>
      <c r="J30" s="10" t="s">
        <v>388</v>
      </c>
      <c r="K30" s="10"/>
      <c r="L30" s="10"/>
      <c r="M30" s="10" t="s">
        <v>388</v>
      </c>
      <c r="N30" s="10"/>
    </row>
    <row r="31" spans="1:14" ht="30" customHeight="1" x14ac:dyDescent="0.3">
      <c r="A31" s="10" t="s">
        <v>757</v>
      </c>
      <c r="B31" s="10" t="s">
        <v>524</v>
      </c>
      <c r="C31" s="10" t="s">
        <v>131</v>
      </c>
      <c r="D31" s="10" t="s">
        <v>434</v>
      </c>
      <c r="E31" s="27">
        <f>일위대가!F172</f>
        <v>0</v>
      </c>
      <c r="F31" s="27">
        <f>일위대가!H172</f>
        <v>0</v>
      </c>
      <c r="G31" s="27">
        <f>일위대가!J172</f>
        <v>131566</v>
      </c>
      <c r="H31" s="27">
        <f t="shared" si="0"/>
        <v>131566</v>
      </c>
      <c r="I31" s="23" t="str">
        <f>HYPERLINK("#일위대가!A162", "호표 28")</f>
        <v>호표 28</v>
      </c>
      <c r="J31" s="10" t="s">
        <v>388</v>
      </c>
      <c r="K31" s="10"/>
      <c r="L31" s="10"/>
      <c r="M31" s="10" t="s">
        <v>388</v>
      </c>
      <c r="N31" s="10"/>
    </row>
    <row r="32" spans="1:14" ht="30" customHeight="1" x14ac:dyDescent="0.3">
      <c r="A32" s="10" t="s">
        <v>190</v>
      </c>
      <c r="B32" s="10" t="s">
        <v>740</v>
      </c>
      <c r="C32" s="10" t="s">
        <v>67</v>
      </c>
      <c r="D32" s="10" t="s">
        <v>547</v>
      </c>
      <c r="E32" s="27">
        <f>일위대가!F177</f>
        <v>0</v>
      </c>
      <c r="F32" s="27">
        <f>일위대가!H177</f>
        <v>412</v>
      </c>
      <c r="G32" s="27">
        <f>일위대가!J177</f>
        <v>0</v>
      </c>
      <c r="H32" s="27">
        <f t="shared" si="0"/>
        <v>412</v>
      </c>
      <c r="I32" s="23" t="str">
        <f>HYPERLINK("#일위대가!A169", "호표 29")</f>
        <v>호표 29</v>
      </c>
      <c r="J32" s="10" t="s">
        <v>458</v>
      </c>
      <c r="K32" s="10" t="s">
        <v>677</v>
      </c>
      <c r="L32" s="10"/>
      <c r="M32" s="10" t="s">
        <v>458</v>
      </c>
      <c r="N32" s="10" t="s">
        <v>677</v>
      </c>
    </row>
    <row r="33" spans="1:14" ht="30" customHeight="1" x14ac:dyDescent="0.3">
      <c r="A33" s="10" t="s">
        <v>622</v>
      </c>
      <c r="B33" s="10" t="s">
        <v>574</v>
      </c>
      <c r="C33" s="10" t="s">
        <v>208</v>
      </c>
      <c r="D33" s="10" t="s">
        <v>1038</v>
      </c>
      <c r="E33" s="27">
        <f>일위대가!F183</f>
        <v>0</v>
      </c>
      <c r="F33" s="27">
        <f>일위대가!H183</f>
        <v>199462</v>
      </c>
      <c r="G33" s="27">
        <f>일위대가!J183</f>
        <v>17951</v>
      </c>
      <c r="H33" s="27">
        <f t="shared" si="0"/>
        <v>217413</v>
      </c>
      <c r="I33" s="23" t="str">
        <f>HYPERLINK("#일위대가!A174", "호표 30")</f>
        <v>호표 30</v>
      </c>
      <c r="J33" s="10" t="s">
        <v>616</v>
      </c>
      <c r="K33" s="10"/>
      <c r="L33" s="10"/>
      <c r="M33" s="10" t="s">
        <v>616</v>
      </c>
      <c r="N33" s="10"/>
    </row>
    <row r="34" spans="1:14" ht="30" customHeight="1" x14ac:dyDescent="0.3">
      <c r="A34" s="10" t="s">
        <v>660</v>
      </c>
      <c r="B34" s="10" t="s">
        <v>798</v>
      </c>
      <c r="C34" s="10" t="s">
        <v>506</v>
      </c>
      <c r="D34" s="10" t="s">
        <v>1038</v>
      </c>
      <c r="E34" s="27">
        <f>일위대가!F191</f>
        <v>9906</v>
      </c>
      <c r="F34" s="27">
        <f>일위대가!H191</f>
        <v>759006</v>
      </c>
      <c r="G34" s="27">
        <f>일위대가!J191</f>
        <v>10120</v>
      </c>
      <c r="H34" s="27">
        <f t="shared" si="0"/>
        <v>779032</v>
      </c>
      <c r="I34" s="23" t="str">
        <f>HYPERLINK("#일위대가!A180", "호표 31")</f>
        <v>호표 31</v>
      </c>
      <c r="J34" s="10" t="s">
        <v>753</v>
      </c>
      <c r="K34" s="10" t="s">
        <v>677</v>
      </c>
      <c r="L34" s="10"/>
      <c r="M34" s="10" t="s">
        <v>753</v>
      </c>
      <c r="N34" s="10" t="s">
        <v>677</v>
      </c>
    </row>
    <row r="35" spans="1:14" ht="30" customHeight="1" x14ac:dyDescent="0.3">
      <c r="A35" s="10" t="s">
        <v>8</v>
      </c>
      <c r="B35" s="10" t="s">
        <v>299</v>
      </c>
      <c r="C35" s="10" t="s">
        <v>595</v>
      </c>
      <c r="D35" s="10" t="s">
        <v>801</v>
      </c>
      <c r="E35" s="27">
        <f>일위대가!F195</f>
        <v>2998</v>
      </c>
      <c r="F35" s="27">
        <f>일위대가!H195</f>
        <v>0</v>
      </c>
      <c r="G35" s="27">
        <f>일위대가!J195</f>
        <v>0</v>
      </c>
      <c r="H35" s="27">
        <f t="shared" si="0"/>
        <v>2998</v>
      </c>
      <c r="I35" s="23" t="str">
        <f>HYPERLINK("#일위대가!A188", "호표 32")</f>
        <v>호표 32</v>
      </c>
      <c r="J35" s="10" t="s">
        <v>205</v>
      </c>
      <c r="K35" s="10" t="s">
        <v>677</v>
      </c>
      <c r="L35" s="10"/>
      <c r="M35" s="10" t="s">
        <v>205</v>
      </c>
      <c r="N35" s="10" t="s">
        <v>677</v>
      </c>
    </row>
    <row r="36" spans="1:14" ht="30" customHeight="1" x14ac:dyDescent="0.3">
      <c r="A36" s="10" t="s">
        <v>178</v>
      </c>
      <c r="B36" s="10" t="s">
        <v>299</v>
      </c>
      <c r="C36" s="10" t="s">
        <v>595</v>
      </c>
      <c r="D36" s="10" t="s">
        <v>879</v>
      </c>
      <c r="E36" s="27">
        <f>일위대가!F202</f>
        <v>29989</v>
      </c>
      <c r="F36" s="27">
        <f>일위대가!H202</f>
        <v>0</v>
      </c>
      <c r="G36" s="27">
        <f>일위대가!J202</f>
        <v>0</v>
      </c>
      <c r="H36" s="27">
        <f t="shared" ref="H36:H57" si="1">E36+F36+G36</f>
        <v>29989</v>
      </c>
      <c r="I36" s="23" t="str">
        <f>HYPERLINK("#일위대가!A192", "호표 33")</f>
        <v>호표 33</v>
      </c>
      <c r="J36" s="10" t="s">
        <v>205</v>
      </c>
      <c r="K36" s="10"/>
      <c r="L36" s="10"/>
      <c r="M36" s="10" t="s">
        <v>205</v>
      </c>
      <c r="N36" s="10"/>
    </row>
    <row r="37" spans="1:14" ht="30" customHeight="1" x14ac:dyDescent="0.3">
      <c r="A37" s="10" t="s">
        <v>787</v>
      </c>
      <c r="B37" s="10" t="s">
        <v>563</v>
      </c>
      <c r="C37" s="10" t="s">
        <v>326</v>
      </c>
      <c r="D37" s="10" t="s">
        <v>801</v>
      </c>
      <c r="E37" s="27">
        <f>일위대가!F208</f>
        <v>0</v>
      </c>
      <c r="F37" s="27">
        <f>일위대가!H208</f>
        <v>27711</v>
      </c>
      <c r="G37" s="27">
        <f>일위대가!J208</f>
        <v>831</v>
      </c>
      <c r="H37" s="27">
        <f t="shared" si="1"/>
        <v>28542</v>
      </c>
      <c r="I37" s="23" t="str">
        <f>HYPERLINK("#일위대가!A199", "호표 34")</f>
        <v>호표 34</v>
      </c>
      <c r="J37" s="10" t="s">
        <v>973</v>
      </c>
      <c r="K37" s="10"/>
      <c r="L37" s="10"/>
      <c r="M37" s="10" t="s">
        <v>973</v>
      </c>
      <c r="N37" s="10"/>
    </row>
    <row r="38" spans="1:14" ht="30" customHeight="1" x14ac:dyDescent="0.3">
      <c r="A38" s="10" t="s">
        <v>765</v>
      </c>
      <c r="B38" s="10" t="s">
        <v>631</v>
      </c>
      <c r="C38" s="10" t="s">
        <v>681</v>
      </c>
      <c r="D38" s="10" t="s">
        <v>249</v>
      </c>
      <c r="E38" s="27">
        <f>일위대가!F215</f>
        <v>6863</v>
      </c>
      <c r="F38" s="27">
        <f>일위대가!H215</f>
        <v>47967</v>
      </c>
      <c r="G38" s="27">
        <f>일위대가!J215</f>
        <v>8768</v>
      </c>
      <c r="H38" s="27">
        <f t="shared" si="1"/>
        <v>63598</v>
      </c>
      <c r="I38" s="23" t="str">
        <f>HYPERLINK("#일위대가!A205", "호표 35")</f>
        <v>호표 35</v>
      </c>
      <c r="J38" s="10" t="s">
        <v>473</v>
      </c>
      <c r="K38" s="10" t="s">
        <v>851</v>
      </c>
      <c r="L38" s="10"/>
      <c r="M38" s="10" t="s">
        <v>473</v>
      </c>
      <c r="N38" s="10" t="s">
        <v>731</v>
      </c>
    </row>
    <row r="39" spans="1:14" ht="30" customHeight="1" x14ac:dyDescent="0.3">
      <c r="A39" s="10" t="s">
        <v>200</v>
      </c>
      <c r="B39" s="10" t="s">
        <v>631</v>
      </c>
      <c r="C39" s="10" t="s">
        <v>876</v>
      </c>
      <c r="D39" s="10" t="s">
        <v>249</v>
      </c>
      <c r="E39" s="27">
        <f>일위대가!F222</f>
        <v>10724</v>
      </c>
      <c r="F39" s="27">
        <f>일위대가!H222</f>
        <v>47967</v>
      </c>
      <c r="G39" s="27">
        <f>일위대가!J222</f>
        <v>12688</v>
      </c>
      <c r="H39" s="27">
        <f t="shared" si="1"/>
        <v>71379</v>
      </c>
      <c r="I39" s="23" t="str">
        <f>HYPERLINK("#일위대가!A212", "호표 36")</f>
        <v>호표 36</v>
      </c>
      <c r="J39" s="10" t="s">
        <v>473</v>
      </c>
      <c r="K39" s="10" t="s">
        <v>851</v>
      </c>
      <c r="L39" s="10"/>
      <c r="M39" s="10" t="s">
        <v>473</v>
      </c>
      <c r="N39" s="10" t="s">
        <v>731</v>
      </c>
    </row>
    <row r="40" spans="1:14" ht="30" customHeight="1" x14ac:dyDescent="0.3">
      <c r="A40" s="10" t="s">
        <v>491</v>
      </c>
      <c r="B40" s="10" t="s">
        <v>631</v>
      </c>
      <c r="C40" s="10" t="s">
        <v>642</v>
      </c>
      <c r="D40" s="10" t="s">
        <v>249</v>
      </c>
      <c r="E40" s="27">
        <f>일위대가!F229</f>
        <v>21410</v>
      </c>
      <c r="F40" s="27">
        <f>일위대가!H229</f>
        <v>47967</v>
      </c>
      <c r="G40" s="27">
        <f>일위대가!J229</f>
        <v>15965</v>
      </c>
      <c r="H40" s="27">
        <f t="shared" si="1"/>
        <v>85342</v>
      </c>
      <c r="I40" s="23" t="str">
        <f>HYPERLINK("#일위대가!A219", "호표 37")</f>
        <v>호표 37</v>
      </c>
      <c r="J40" s="10" t="s">
        <v>473</v>
      </c>
      <c r="K40" s="10" t="s">
        <v>851</v>
      </c>
      <c r="L40" s="10"/>
      <c r="M40" s="10" t="s">
        <v>473</v>
      </c>
      <c r="N40" s="10" t="s">
        <v>731</v>
      </c>
    </row>
    <row r="41" spans="1:14" ht="30" customHeight="1" x14ac:dyDescent="0.3">
      <c r="A41" s="10" t="s">
        <v>569</v>
      </c>
      <c r="B41" s="10" t="s">
        <v>631</v>
      </c>
      <c r="C41" s="10" t="s">
        <v>116</v>
      </c>
      <c r="D41" s="10" t="s">
        <v>249</v>
      </c>
      <c r="E41" s="27">
        <f>일위대가!F236</f>
        <v>25087</v>
      </c>
      <c r="F41" s="27">
        <f>일위대가!H236</f>
        <v>47967</v>
      </c>
      <c r="G41" s="27">
        <f>일위대가!J236</f>
        <v>22383</v>
      </c>
      <c r="H41" s="27">
        <f t="shared" si="1"/>
        <v>95437</v>
      </c>
      <c r="I41" s="23" t="str">
        <f>HYPERLINK("#일위대가!A226", "호표 38")</f>
        <v>호표 38</v>
      </c>
      <c r="J41" s="10" t="s">
        <v>473</v>
      </c>
      <c r="K41" s="10" t="s">
        <v>851</v>
      </c>
      <c r="L41" s="10"/>
      <c r="M41" s="10" t="s">
        <v>473</v>
      </c>
      <c r="N41" s="10" t="s">
        <v>731</v>
      </c>
    </row>
    <row r="42" spans="1:14" ht="30" customHeight="1" x14ac:dyDescent="0.3">
      <c r="A42" s="10" t="s">
        <v>234</v>
      </c>
      <c r="B42" s="10" t="s">
        <v>474</v>
      </c>
      <c r="C42" s="10" t="s">
        <v>4</v>
      </c>
      <c r="D42" s="10" t="s">
        <v>249</v>
      </c>
      <c r="E42" s="27">
        <f>일위대가!F243</f>
        <v>38897</v>
      </c>
      <c r="F42" s="27">
        <f>일위대가!H243</f>
        <v>47967</v>
      </c>
      <c r="G42" s="27">
        <f>일위대가!J243</f>
        <v>18972</v>
      </c>
      <c r="H42" s="27">
        <f t="shared" si="1"/>
        <v>105836</v>
      </c>
      <c r="I42" s="23" t="str">
        <f>HYPERLINK("#일위대가!A233", "호표 39")</f>
        <v>호표 39</v>
      </c>
      <c r="J42" s="10" t="s">
        <v>327</v>
      </c>
      <c r="K42" s="10" t="s">
        <v>851</v>
      </c>
      <c r="L42" s="10"/>
      <c r="M42" s="10" t="s">
        <v>327</v>
      </c>
      <c r="N42" s="10" t="s">
        <v>731</v>
      </c>
    </row>
    <row r="43" spans="1:14" ht="30" customHeight="1" x14ac:dyDescent="0.3">
      <c r="A43" s="10" t="s">
        <v>794</v>
      </c>
      <c r="B43" s="10" t="s">
        <v>245</v>
      </c>
      <c r="C43" s="10" t="s">
        <v>4</v>
      </c>
      <c r="D43" s="10" t="s">
        <v>249</v>
      </c>
      <c r="E43" s="27">
        <f>일위대가!F247</f>
        <v>0</v>
      </c>
      <c r="F43" s="27">
        <f>일위대가!H247</f>
        <v>0</v>
      </c>
      <c r="G43" s="27">
        <f>일위대가!J247</f>
        <v>401</v>
      </c>
      <c r="H43" s="27">
        <f t="shared" si="1"/>
        <v>401</v>
      </c>
      <c r="I43" s="23" t="str">
        <f>HYPERLINK("#일위대가!A240", "호표 40")</f>
        <v>호표 40</v>
      </c>
      <c r="J43" s="10" t="s">
        <v>1025</v>
      </c>
      <c r="K43" s="10" t="s">
        <v>851</v>
      </c>
      <c r="L43" s="10"/>
      <c r="M43" s="10" t="s">
        <v>1025</v>
      </c>
      <c r="N43" s="10" t="s">
        <v>731</v>
      </c>
    </row>
    <row r="44" spans="1:14" ht="30" customHeight="1" x14ac:dyDescent="0.3">
      <c r="A44" s="10" t="s">
        <v>136</v>
      </c>
      <c r="B44" s="10" t="s">
        <v>172</v>
      </c>
      <c r="C44" s="10" t="s">
        <v>581</v>
      </c>
      <c r="D44" s="10" t="s">
        <v>249</v>
      </c>
      <c r="E44" s="27">
        <f>일위대가!F254</f>
        <v>4406</v>
      </c>
      <c r="F44" s="27">
        <f>일위대가!H254</f>
        <v>31597</v>
      </c>
      <c r="G44" s="27">
        <f>일위대가!J254</f>
        <v>1767</v>
      </c>
      <c r="H44" s="27">
        <f t="shared" si="1"/>
        <v>37770</v>
      </c>
      <c r="I44" s="23" t="str">
        <f>HYPERLINK("#일위대가!A244", "호표 41")</f>
        <v>호표 41</v>
      </c>
      <c r="J44" s="10" t="s">
        <v>314</v>
      </c>
      <c r="K44" s="10" t="s">
        <v>851</v>
      </c>
      <c r="L44" s="10"/>
      <c r="M44" s="10" t="s">
        <v>314</v>
      </c>
      <c r="N44" s="10" t="s">
        <v>731</v>
      </c>
    </row>
    <row r="45" spans="1:14" ht="30" customHeight="1" x14ac:dyDescent="0.3">
      <c r="A45" s="10" t="s">
        <v>204</v>
      </c>
      <c r="B45" s="10" t="s">
        <v>264</v>
      </c>
      <c r="C45" s="10" t="s">
        <v>443</v>
      </c>
      <c r="D45" s="10" t="s">
        <v>249</v>
      </c>
      <c r="E45" s="27">
        <f>일위대가!F261</f>
        <v>1301</v>
      </c>
      <c r="F45" s="27">
        <f>일위대가!H261</f>
        <v>31597</v>
      </c>
      <c r="G45" s="27">
        <f>일위대가!J261</f>
        <v>472</v>
      </c>
      <c r="H45" s="27">
        <f t="shared" si="1"/>
        <v>33370</v>
      </c>
      <c r="I45" s="23" t="str">
        <f>HYPERLINK("#일위대가!A251", "호표 42")</f>
        <v>호표 42</v>
      </c>
      <c r="J45" s="10" t="s">
        <v>37</v>
      </c>
      <c r="K45" s="10" t="s">
        <v>851</v>
      </c>
      <c r="L45" s="10"/>
      <c r="M45" s="10" t="s">
        <v>37</v>
      </c>
      <c r="N45" s="10" t="s">
        <v>731</v>
      </c>
    </row>
    <row r="46" spans="1:14" ht="30" customHeight="1" x14ac:dyDescent="0.3">
      <c r="A46" s="10" t="s">
        <v>985</v>
      </c>
      <c r="B46" s="10" t="s">
        <v>1189</v>
      </c>
      <c r="C46" s="10" t="s">
        <v>1191</v>
      </c>
      <c r="D46" s="10" t="s">
        <v>249</v>
      </c>
      <c r="E46" s="27">
        <f>일위대가!F268</f>
        <v>10849</v>
      </c>
      <c r="F46" s="27">
        <f>일위대가!H268</f>
        <v>40000</v>
      </c>
      <c r="G46" s="27">
        <f>일위대가!J268</f>
        <v>9596</v>
      </c>
      <c r="H46" s="27">
        <f t="shared" si="1"/>
        <v>60445</v>
      </c>
      <c r="I46" s="23" t="str">
        <f>HYPERLINK("#일위대가!A258", "호표 43")</f>
        <v>호표 43</v>
      </c>
      <c r="J46" s="10" t="s">
        <v>257</v>
      </c>
      <c r="K46" s="10" t="s">
        <v>851</v>
      </c>
      <c r="L46" s="10"/>
      <c r="M46" s="10" t="s">
        <v>257</v>
      </c>
      <c r="N46" s="10" t="s">
        <v>731</v>
      </c>
    </row>
    <row r="47" spans="1:14" ht="30" customHeight="1" x14ac:dyDescent="0.3">
      <c r="A47" s="10" t="s">
        <v>981</v>
      </c>
      <c r="B47" s="10" t="s">
        <v>799</v>
      </c>
      <c r="C47" s="10" t="s">
        <v>832</v>
      </c>
      <c r="D47" s="10" t="s">
        <v>249</v>
      </c>
      <c r="E47" s="27">
        <f>일위대가!F275</f>
        <v>12749</v>
      </c>
      <c r="F47" s="27">
        <f>일위대가!H275</f>
        <v>47967</v>
      </c>
      <c r="G47" s="27">
        <f>일위대가!J275</f>
        <v>2194</v>
      </c>
      <c r="H47" s="27">
        <f t="shared" si="1"/>
        <v>62910</v>
      </c>
      <c r="I47" s="23" t="str">
        <f>HYPERLINK("#일위대가!A265", "호표 44")</f>
        <v>호표 44</v>
      </c>
      <c r="J47" s="10" t="s">
        <v>598</v>
      </c>
      <c r="K47" s="10" t="s">
        <v>851</v>
      </c>
      <c r="L47" s="10"/>
      <c r="M47" s="10" t="s">
        <v>598</v>
      </c>
      <c r="N47" s="10" t="s">
        <v>731</v>
      </c>
    </row>
    <row r="48" spans="1:14" ht="30" customHeight="1" x14ac:dyDescent="0.3">
      <c r="A48" s="10" t="s">
        <v>592</v>
      </c>
      <c r="B48" s="10" t="s">
        <v>962</v>
      </c>
      <c r="C48" s="10" t="s">
        <v>917</v>
      </c>
      <c r="D48" s="10" t="s">
        <v>249</v>
      </c>
      <c r="E48" s="27">
        <f>일위대가!F279</f>
        <v>0</v>
      </c>
      <c r="F48" s="27">
        <f>일위대가!H279</f>
        <v>0</v>
      </c>
      <c r="G48" s="27">
        <f>일위대가!J279</f>
        <v>439</v>
      </c>
      <c r="H48" s="27">
        <f t="shared" si="1"/>
        <v>439</v>
      </c>
      <c r="I48" s="23" t="str">
        <f>HYPERLINK("#일위대가!A272", "호표 45")</f>
        <v>호표 45</v>
      </c>
      <c r="J48" s="10" t="s">
        <v>1037</v>
      </c>
      <c r="K48" s="10" t="s">
        <v>851</v>
      </c>
      <c r="L48" s="10"/>
      <c r="M48" s="10" t="s">
        <v>1037</v>
      </c>
      <c r="N48" s="10" t="s">
        <v>731</v>
      </c>
    </row>
    <row r="49" spans="1:14" ht="30" customHeight="1" x14ac:dyDescent="0.3">
      <c r="A49" s="10" t="s">
        <v>141</v>
      </c>
      <c r="B49" s="10" t="s">
        <v>728</v>
      </c>
      <c r="C49" s="10" t="s">
        <v>978</v>
      </c>
      <c r="D49" s="10" t="s">
        <v>801</v>
      </c>
      <c r="E49" s="27">
        <f>일위대가!F283</f>
        <v>0</v>
      </c>
      <c r="F49" s="27">
        <f>일위대가!H283</f>
        <v>1154</v>
      </c>
      <c r="G49" s="27">
        <f>일위대가!J283</f>
        <v>0</v>
      </c>
      <c r="H49" s="27">
        <f t="shared" si="1"/>
        <v>1154</v>
      </c>
      <c r="I49" s="23" t="str">
        <f>HYPERLINK("#일위대가!A276", "호표 46")</f>
        <v>호표 46</v>
      </c>
      <c r="J49" s="10" t="s">
        <v>62</v>
      </c>
      <c r="K49" s="10"/>
      <c r="L49" s="10"/>
      <c r="M49" s="10" t="s">
        <v>62</v>
      </c>
      <c r="N49" s="10"/>
    </row>
    <row r="50" spans="1:14" ht="30" customHeight="1" x14ac:dyDescent="0.3">
      <c r="A50" s="10" t="s">
        <v>42</v>
      </c>
      <c r="B50" s="10" t="s">
        <v>803</v>
      </c>
      <c r="C50" s="10" t="s">
        <v>371</v>
      </c>
      <c r="D50" s="10" t="s">
        <v>71</v>
      </c>
      <c r="E50" s="27">
        <f>일위대가!F287</f>
        <v>0</v>
      </c>
      <c r="F50" s="27">
        <f>일위대가!H287</f>
        <v>101422</v>
      </c>
      <c r="G50" s="27">
        <f>일위대가!J287</f>
        <v>0</v>
      </c>
      <c r="H50" s="27">
        <f t="shared" si="1"/>
        <v>101422</v>
      </c>
      <c r="I50" s="23" t="str">
        <f>HYPERLINK("#일위대가!A280", "호표 47")</f>
        <v>호표 47</v>
      </c>
      <c r="J50" s="10" t="s">
        <v>531</v>
      </c>
      <c r="K50" s="10"/>
      <c r="L50" s="10"/>
      <c r="M50" s="10" t="s">
        <v>531</v>
      </c>
      <c r="N50" s="10"/>
    </row>
    <row r="51" spans="1:14" ht="30" customHeight="1" x14ac:dyDescent="0.3">
      <c r="A51" s="10" t="s">
        <v>653</v>
      </c>
      <c r="B51" s="10" t="s">
        <v>302</v>
      </c>
      <c r="C51" s="10" t="s">
        <v>852</v>
      </c>
      <c r="D51" s="10" t="s">
        <v>71</v>
      </c>
      <c r="E51" s="27">
        <f>일위대가!F293</f>
        <v>0</v>
      </c>
      <c r="F51" s="27">
        <f>일위대가!H293</f>
        <v>101422</v>
      </c>
      <c r="G51" s="27">
        <f>일위대가!J293</f>
        <v>0</v>
      </c>
      <c r="H51" s="27">
        <f t="shared" si="1"/>
        <v>101422</v>
      </c>
      <c r="I51" s="23" t="str">
        <f>HYPERLINK("#일위대가!A284", "호표 48")</f>
        <v>호표 48</v>
      </c>
      <c r="J51" s="10" t="s">
        <v>531</v>
      </c>
      <c r="K51" s="10"/>
      <c r="L51" s="10"/>
      <c r="M51" s="10" t="s">
        <v>531</v>
      </c>
      <c r="N51" s="10"/>
    </row>
    <row r="52" spans="1:14" ht="30" customHeight="1" x14ac:dyDescent="0.3">
      <c r="A52" s="10" t="s">
        <v>885</v>
      </c>
      <c r="B52" s="10" t="s">
        <v>302</v>
      </c>
      <c r="C52" s="10" t="s">
        <v>303</v>
      </c>
      <c r="D52" s="10" t="s">
        <v>71</v>
      </c>
      <c r="E52" s="27">
        <f>일위대가!F299</f>
        <v>0</v>
      </c>
      <c r="F52" s="27">
        <f>일위대가!H299</f>
        <v>101422</v>
      </c>
      <c r="G52" s="27">
        <f>일위대가!J299</f>
        <v>0</v>
      </c>
      <c r="H52" s="27">
        <f t="shared" si="1"/>
        <v>101422</v>
      </c>
      <c r="I52" s="23" t="str">
        <f>HYPERLINK("#일위대가!A290", "호표 49")</f>
        <v>호표 49</v>
      </c>
      <c r="J52" s="10" t="s">
        <v>531</v>
      </c>
      <c r="K52" s="10"/>
      <c r="L52" s="10"/>
      <c r="M52" s="10" t="s">
        <v>531</v>
      </c>
      <c r="N52" s="10"/>
    </row>
    <row r="53" spans="1:14" ht="30" customHeight="1" x14ac:dyDescent="0.3">
      <c r="A53" s="10" t="s">
        <v>21</v>
      </c>
      <c r="B53" s="10" t="s">
        <v>364</v>
      </c>
      <c r="C53" s="10" t="s">
        <v>969</v>
      </c>
      <c r="D53" s="10" t="s">
        <v>801</v>
      </c>
      <c r="E53" s="27">
        <f>일위대가!F307</f>
        <v>213</v>
      </c>
      <c r="F53" s="27">
        <f>일위대가!H307</f>
        <v>10661</v>
      </c>
      <c r="G53" s="27">
        <f>일위대가!J307</f>
        <v>0</v>
      </c>
      <c r="H53" s="27">
        <f t="shared" si="1"/>
        <v>10874</v>
      </c>
      <c r="I53" s="23" t="str">
        <f>HYPERLINK("#일위대가!A296", "호표 50")</f>
        <v>호표 50</v>
      </c>
      <c r="J53" s="10" t="s">
        <v>737</v>
      </c>
      <c r="K53" s="10"/>
      <c r="L53" s="10"/>
      <c r="M53" s="10" t="s">
        <v>737</v>
      </c>
      <c r="N53" s="10"/>
    </row>
    <row r="54" spans="1:14" ht="30" customHeight="1" x14ac:dyDescent="0.3">
      <c r="A54" s="10" t="s">
        <v>207</v>
      </c>
      <c r="B54" s="10" t="s">
        <v>328</v>
      </c>
      <c r="C54" s="10" t="s">
        <v>501</v>
      </c>
      <c r="D54" s="10" t="s">
        <v>801</v>
      </c>
      <c r="E54" s="27">
        <f>일위대가!F313</f>
        <v>977</v>
      </c>
      <c r="F54" s="27">
        <f>일위대가!H313</f>
        <v>0</v>
      </c>
      <c r="G54" s="27">
        <f>일위대가!J313</f>
        <v>0</v>
      </c>
      <c r="H54" s="27">
        <f t="shared" si="1"/>
        <v>977</v>
      </c>
      <c r="I54" s="23" t="str">
        <f>HYPERLINK("#일위대가!A304", "호표 51")</f>
        <v>호표 51</v>
      </c>
      <c r="J54" s="10" t="s">
        <v>737</v>
      </c>
      <c r="K54" s="10" t="s">
        <v>677</v>
      </c>
      <c r="L54" s="10"/>
      <c r="M54" s="10" t="s">
        <v>737</v>
      </c>
      <c r="N54" s="10" t="s">
        <v>677</v>
      </c>
    </row>
    <row r="55" spans="1:14" ht="30" customHeight="1" x14ac:dyDescent="0.3">
      <c r="A55" s="10" t="s">
        <v>252</v>
      </c>
      <c r="B55" s="10" t="s">
        <v>1170</v>
      </c>
      <c r="C55" s="10" t="s">
        <v>1171</v>
      </c>
      <c r="D55" s="10" t="s">
        <v>801</v>
      </c>
      <c r="E55" s="27">
        <f>일위대가!F318</f>
        <v>0</v>
      </c>
      <c r="F55" s="27">
        <f>일위대가!H318</f>
        <v>1629739</v>
      </c>
      <c r="G55" s="27">
        <f>일위대가!J318</f>
        <v>0</v>
      </c>
      <c r="H55" s="27">
        <f t="shared" si="1"/>
        <v>1629739</v>
      </c>
      <c r="I55" s="34" t="str">
        <f>HYPERLINK("#일위대가!A313", "호표 52")</f>
        <v>호표 52</v>
      </c>
      <c r="J55" s="10" t="s">
        <v>1172</v>
      </c>
      <c r="K55" s="10" t="s">
        <v>677</v>
      </c>
      <c r="L55" s="10"/>
      <c r="M55" s="10" t="s">
        <v>1172</v>
      </c>
      <c r="N55" s="10" t="s">
        <v>677</v>
      </c>
    </row>
    <row r="56" spans="1:14" ht="30" customHeight="1" x14ac:dyDescent="0.3">
      <c r="A56" s="10" t="s">
        <v>161</v>
      </c>
      <c r="B56" s="10" t="s">
        <v>1005</v>
      </c>
      <c r="C56" s="10" t="s">
        <v>946</v>
      </c>
      <c r="D56" s="10" t="s">
        <v>242</v>
      </c>
      <c r="E56" s="27">
        <f>일위대가!F324</f>
        <v>371</v>
      </c>
      <c r="F56" s="27">
        <f>일위대가!H324</f>
        <v>18553</v>
      </c>
      <c r="G56" s="27">
        <f>일위대가!J324</f>
        <v>0</v>
      </c>
      <c r="H56" s="27">
        <f t="shared" si="1"/>
        <v>18924</v>
      </c>
      <c r="I56" s="23" t="str">
        <f>HYPERLINK("#일위대가!A322", "호표 53")</f>
        <v>호표 53</v>
      </c>
      <c r="J56" s="10" t="s">
        <v>994</v>
      </c>
      <c r="K56" s="10" t="s">
        <v>677</v>
      </c>
      <c r="L56" s="10"/>
      <c r="M56" s="10" t="s">
        <v>994</v>
      </c>
      <c r="N56" s="10" t="s">
        <v>677</v>
      </c>
    </row>
    <row r="57" spans="1:14" ht="30" customHeight="1" x14ac:dyDescent="0.3">
      <c r="A57" s="10" t="s">
        <v>1078</v>
      </c>
      <c r="B57" s="10" t="s">
        <v>1082</v>
      </c>
      <c r="C57" s="10" t="s">
        <v>1080</v>
      </c>
      <c r="D57" s="10" t="s">
        <v>71</v>
      </c>
      <c r="E57" s="27">
        <f>일위대가!F329</f>
        <v>2120</v>
      </c>
      <c r="F57" s="27">
        <f>일위대가!H329</f>
        <v>106032</v>
      </c>
      <c r="G57" s="27">
        <f>일위대가!J329</f>
        <v>0</v>
      </c>
      <c r="H57" s="27">
        <f t="shared" si="1"/>
        <v>108152</v>
      </c>
      <c r="I57" s="34" t="str">
        <f>HYPERLINK("#일위대가!A329", "호표 54")</f>
        <v>호표 54</v>
      </c>
      <c r="J57" s="10" t="s">
        <v>1081</v>
      </c>
      <c r="K57" s="10"/>
      <c r="L57" s="10"/>
      <c r="M57" s="10" t="s">
        <v>1081</v>
      </c>
      <c r="N57" s="10"/>
    </row>
    <row r="58" spans="1:14" ht="30" customHeight="1" x14ac:dyDescent="0.3">
      <c r="A58" s="10" t="s">
        <v>1302</v>
      </c>
      <c r="B58" s="10" t="s">
        <v>1140</v>
      </c>
      <c r="C58" s="10"/>
      <c r="D58" s="10" t="s">
        <v>1137</v>
      </c>
      <c r="E58" s="27">
        <f>일위대가!F334</f>
        <v>0</v>
      </c>
      <c r="F58" s="27">
        <f>일위대가!H334</f>
        <v>1421</v>
      </c>
      <c r="G58" s="27">
        <f>일위대가!J334</f>
        <v>0</v>
      </c>
      <c r="H58" s="27">
        <f t="shared" ref="H58" si="2">E58+F58+G58</f>
        <v>1421</v>
      </c>
      <c r="I58" s="34" t="str">
        <f>HYPERLINK("#일위대가!A334", "호표 55")</f>
        <v>호표 55</v>
      </c>
      <c r="J58" s="10" t="s">
        <v>1147</v>
      </c>
      <c r="K58" s="10"/>
      <c r="L58" s="10"/>
      <c r="M58" s="10" t="s">
        <v>1147</v>
      </c>
      <c r="N58" s="10"/>
    </row>
    <row r="59" spans="1:14" ht="30" customHeight="1" x14ac:dyDescent="0.3">
      <c r="A59" s="10" t="s">
        <v>1227</v>
      </c>
      <c r="B59" s="10" t="s">
        <v>1251</v>
      </c>
      <c r="C59" s="10" t="s">
        <v>595</v>
      </c>
      <c r="D59" s="10" t="s">
        <v>961</v>
      </c>
      <c r="E59" s="27">
        <f>일위대가!F347</f>
        <v>79</v>
      </c>
      <c r="F59" s="27">
        <f>일위대가!H347</f>
        <v>4955</v>
      </c>
      <c r="G59" s="27">
        <f>일위대가!J347</f>
        <v>151</v>
      </c>
      <c r="H59" s="27">
        <f t="shared" ref="H59:H61" si="3">E59+F59+G59</f>
        <v>5185</v>
      </c>
      <c r="I59" s="34" t="str">
        <f>HYPERLINK("#일위대가!A343", "호표 56")</f>
        <v>호표 56</v>
      </c>
      <c r="J59" s="10" t="s">
        <v>1228</v>
      </c>
      <c r="K59" s="10" t="s">
        <v>677</v>
      </c>
      <c r="L59" s="10"/>
      <c r="M59" s="10" t="s">
        <v>1228</v>
      </c>
      <c r="N59" s="10" t="s">
        <v>677</v>
      </c>
    </row>
    <row r="60" spans="1:14" ht="30" customHeight="1" x14ac:dyDescent="0.3">
      <c r="A60" s="10" t="s">
        <v>1229</v>
      </c>
      <c r="B60" s="10" t="s">
        <v>1252</v>
      </c>
      <c r="C60" s="10" t="s">
        <v>595</v>
      </c>
      <c r="D60" s="10" t="s">
        <v>961</v>
      </c>
      <c r="E60" s="27">
        <f>일위대가!F352</f>
        <v>0</v>
      </c>
      <c r="F60" s="27">
        <f>일위대가!H352</f>
        <v>36</v>
      </c>
      <c r="G60" s="27">
        <f>일위대가!J352</f>
        <v>0</v>
      </c>
      <c r="H60" s="27">
        <f t="shared" si="3"/>
        <v>36</v>
      </c>
      <c r="I60" s="34" t="str">
        <f>HYPERLINK("#일위대가!A356", "호표 57")</f>
        <v>호표 57</v>
      </c>
      <c r="J60" s="10" t="s">
        <v>1228</v>
      </c>
      <c r="K60" s="10" t="s">
        <v>677</v>
      </c>
      <c r="L60" s="10"/>
      <c r="M60" s="10" t="s">
        <v>1228</v>
      </c>
      <c r="N60" s="10" t="s">
        <v>677</v>
      </c>
    </row>
    <row r="61" spans="1:14" ht="30" customHeight="1" x14ac:dyDescent="0.3">
      <c r="A61" s="10" t="s">
        <v>1240</v>
      </c>
      <c r="B61" s="10" t="s">
        <v>1238</v>
      </c>
      <c r="C61" s="10" t="s">
        <v>1239</v>
      </c>
      <c r="D61" s="10" t="s">
        <v>249</v>
      </c>
      <c r="E61" s="27">
        <f>일위대가!F356</f>
        <v>0</v>
      </c>
      <c r="F61" s="27">
        <f>일위대가!H356</f>
        <v>0</v>
      </c>
      <c r="G61" s="27">
        <f>일위대가!J356</f>
        <v>142</v>
      </c>
      <c r="H61" s="27">
        <f t="shared" si="3"/>
        <v>142</v>
      </c>
      <c r="I61" s="34" t="str">
        <f>HYPERLINK("#일위대가!A361", "호표 58")</f>
        <v>호표 58</v>
      </c>
      <c r="J61" s="10" t="s">
        <v>1265</v>
      </c>
      <c r="K61" s="10" t="s">
        <v>851</v>
      </c>
      <c r="L61" s="10"/>
      <c r="M61" s="10" t="s">
        <v>1265</v>
      </c>
      <c r="N61" s="10" t="s">
        <v>731</v>
      </c>
    </row>
  </sheetData>
  <mergeCells count="2">
    <mergeCell ref="A1:J1"/>
    <mergeCell ref="A2:J2"/>
  </mergeCells>
  <phoneticPr fontId="12" type="noConversion"/>
  <pageMargins left="0.78740157480314954" right="0" top="0.39370078740157477" bottom="0.37735849056603776" header="0" footer="0"/>
  <pageSetup paperSize="9" scale="8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  <pageSetUpPr fitToPage="1"/>
  </sheetPr>
  <dimension ref="A1:AB357"/>
  <sheetViews>
    <sheetView view="pageBreakPreview" topLeftCell="A326" zoomScale="85" zoomScaleNormal="70" zoomScaleSheetLayoutView="85" workbookViewId="0">
      <selection activeCell="E333" sqref="E333"/>
    </sheetView>
  </sheetViews>
  <sheetFormatPr defaultColWidth="9.125"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28" width="9.125" customWidth="1"/>
  </cols>
  <sheetData>
    <row r="1" spans="1:28" ht="30" customHeight="1" x14ac:dyDescent="0.3">
      <c r="A1" s="84" t="s">
        <v>582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28" ht="30" customHeight="1" x14ac:dyDescent="0.3">
      <c r="A2" s="85" t="s">
        <v>1218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28" ht="30" customHeight="1" x14ac:dyDescent="0.3">
      <c r="A3" s="92" t="s">
        <v>886</v>
      </c>
      <c r="B3" s="92" t="s">
        <v>29</v>
      </c>
      <c r="C3" s="92" t="s">
        <v>812</v>
      </c>
      <c r="D3" s="92" t="s">
        <v>484</v>
      </c>
      <c r="E3" s="86" t="s">
        <v>732</v>
      </c>
      <c r="F3" s="88"/>
      <c r="G3" s="86" t="s">
        <v>580</v>
      </c>
      <c r="H3" s="88"/>
      <c r="I3" s="86" t="s">
        <v>572</v>
      </c>
      <c r="J3" s="88"/>
      <c r="K3" s="86" t="s">
        <v>813</v>
      </c>
      <c r="L3" s="88"/>
      <c r="M3" s="92" t="s">
        <v>493</v>
      </c>
      <c r="N3" s="95" t="s">
        <v>628</v>
      </c>
      <c r="O3" s="94" t="s">
        <v>721</v>
      </c>
      <c r="P3" s="94" t="s">
        <v>782</v>
      </c>
      <c r="Q3" s="94" t="s">
        <v>949</v>
      </c>
      <c r="R3" s="94" t="s">
        <v>398</v>
      </c>
      <c r="S3" s="94" t="s">
        <v>542</v>
      </c>
      <c r="T3" s="94" t="s">
        <v>90</v>
      </c>
      <c r="U3" s="94" t="s">
        <v>471</v>
      </c>
      <c r="V3" s="94" t="s">
        <v>692</v>
      </c>
      <c r="W3" s="94" t="s">
        <v>296</v>
      </c>
      <c r="X3" s="94" t="s">
        <v>1028</v>
      </c>
      <c r="Y3" s="94" t="s">
        <v>253</v>
      </c>
      <c r="Z3" s="94" t="s">
        <v>147</v>
      </c>
      <c r="AA3" s="94" t="s">
        <v>445</v>
      </c>
      <c r="AB3" s="94" t="s">
        <v>593</v>
      </c>
    </row>
    <row r="4" spans="1:28" ht="30" customHeight="1" x14ac:dyDescent="0.3">
      <c r="A4" s="93"/>
      <c r="B4" s="93"/>
      <c r="C4" s="93"/>
      <c r="D4" s="93"/>
      <c r="E4" s="20" t="s">
        <v>847</v>
      </c>
      <c r="F4" s="20" t="s">
        <v>1016</v>
      </c>
      <c r="G4" s="20" t="s">
        <v>847</v>
      </c>
      <c r="H4" s="20" t="s">
        <v>1016</v>
      </c>
      <c r="I4" s="20" t="s">
        <v>847</v>
      </c>
      <c r="J4" s="20" t="s">
        <v>1016</v>
      </c>
      <c r="K4" s="20" t="s">
        <v>847</v>
      </c>
      <c r="L4" s="20" t="s">
        <v>1016</v>
      </c>
      <c r="M4" s="93"/>
      <c r="N4" s="95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</row>
    <row r="5" spans="1:28" ht="30" customHeight="1" x14ac:dyDescent="0.3">
      <c r="A5" s="96" t="s">
        <v>585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8"/>
      <c r="N5" s="25" t="s">
        <v>637</v>
      </c>
    </row>
    <row r="6" spans="1:28" ht="30" customHeight="1" x14ac:dyDescent="0.3">
      <c r="A6" s="10" t="s">
        <v>294</v>
      </c>
      <c r="B6" s="10" t="s">
        <v>862</v>
      </c>
      <c r="C6" s="10" t="s">
        <v>858</v>
      </c>
      <c r="D6" s="22">
        <v>0.18</v>
      </c>
      <c r="E6" s="27">
        <f>단가대비표!U24</f>
        <v>1800000</v>
      </c>
      <c r="F6" s="27">
        <f>ROUNDDOWN(D6*E6,2)</f>
        <v>324000</v>
      </c>
      <c r="G6" s="27">
        <f>단가대비표!V24</f>
        <v>0</v>
      </c>
      <c r="H6" s="27">
        <f>ROUNDDOWN(D6*G6,2)</f>
        <v>0</v>
      </c>
      <c r="I6" s="27">
        <f>단가대비표!AE24</f>
        <v>0</v>
      </c>
      <c r="J6" s="27">
        <f>ROUNDDOWN(D6*I6,2)</f>
        <v>0</v>
      </c>
      <c r="K6" s="27">
        <f t="shared" ref="K6:L9" si="0">ROUNDDOWN(E6+G6+I6,2)</f>
        <v>1800000</v>
      </c>
      <c r="L6" s="27">
        <f t="shared" si="0"/>
        <v>324000</v>
      </c>
      <c r="M6" s="10" t="s">
        <v>312</v>
      </c>
      <c r="N6" s="25" t="s">
        <v>637</v>
      </c>
      <c r="O6" s="7" t="s">
        <v>380</v>
      </c>
      <c r="P6" s="7" t="s">
        <v>677</v>
      </c>
      <c r="Q6" s="7" t="s">
        <v>677</v>
      </c>
      <c r="R6" s="7" t="s">
        <v>94</v>
      </c>
      <c r="S6" s="28">
        <v>10</v>
      </c>
      <c r="T6" s="7" t="s">
        <v>93</v>
      </c>
      <c r="U6" s="28">
        <v>0</v>
      </c>
      <c r="V6" s="28">
        <v>1</v>
      </c>
      <c r="W6" s="28">
        <v>0</v>
      </c>
      <c r="X6" s="28">
        <v>0</v>
      </c>
      <c r="Y6" s="28">
        <v>0</v>
      </c>
      <c r="Z6" s="28">
        <v>0</v>
      </c>
      <c r="AA6" s="28">
        <v>0</v>
      </c>
      <c r="AB6" s="28">
        <v>0</v>
      </c>
    </row>
    <row r="7" spans="1:28" ht="30" customHeight="1" x14ac:dyDescent="0.3">
      <c r="A7" s="10" t="s">
        <v>959</v>
      </c>
      <c r="B7" s="10" t="s">
        <v>131</v>
      </c>
      <c r="C7" s="10" t="s">
        <v>434</v>
      </c>
      <c r="D7" s="22">
        <v>1</v>
      </c>
      <c r="E7" s="27">
        <f>일위대가목록!E30</f>
        <v>0</v>
      </c>
      <c r="F7" s="27">
        <f>ROUNDDOWN(D7*E7,2)</f>
        <v>0</v>
      </c>
      <c r="G7" s="27">
        <f>일위대가목록!F30</f>
        <v>0</v>
      </c>
      <c r="H7" s="27">
        <f>ROUNDDOWN(D7*G7,2)</f>
        <v>0</v>
      </c>
      <c r="I7" s="27">
        <f>일위대가목록!G30</f>
        <v>131566</v>
      </c>
      <c r="J7" s="27">
        <f>ROUNDDOWN(D7*I7,2)</f>
        <v>131566</v>
      </c>
      <c r="K7" s="27">
        <f t="shared" si="0"/>
        <v>131566</v>
      </c>
      <c r="L7" s="27">
        <f t="shared" si="0"/>
        <v>131566</v>
      </c>
      <c r="M7" s="10" t="s">
        <v>748</v>
      </c>
      <c r="N7" s="25" t="s">
        <v>637</v>
      </c>
      <c r="O7" s="7" t="s">
        <v>179</v>
      </c>
      <c r="P7" s="7" t="s">
        <v>677</v>
      </c>
      <c r="Q7" s="7" t="s">
        <v>677</v>
      </c>
      <c r="R7" s="7" t="s">
        <v>94</v>
      </c>
      <c r="S7" s="28">
        <v>20</v>
      </c>
      <c r="T7" s="7" t="s">
        <v>677</v>
      </c>
      <c r="U7" s="28">
        <v>0</v>
      </c>
      <c r="V7" s="28">
        <v>1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</row>
    <row r="8" spans="1:28" ht="30" customHeight="1" x14ac:dyDescent="0.3">
      <c r="A8" s="10" t="s">
        <v>524</v>
      </c>
      <c r="B8" s="10" t="s">
        <v>131</v>
      </c>
      <c r="C8" s="10" t="s">
        <v>434</v>
      </c>
      <c r="D8" s="22">
        <v>1</v>
      </c>
      <c r="E8" s="27">
        <f>일위대가목록!E31</f>
        <v>0</v>
      </c>
      <c r="F8" s="27">
        <f>ROUNDDOWN(D8*E8,2)</f>
        <v>0</v>
      </c>
      <c r="G8" s="27">
        <f>일위대가목록!F31</f>
        <v>0</v>
      </c>
      <c r="H8" s="27">
        <f>ROUNDDOWN(D8*G8,2)</f>
        <v>0</v>
      </c>
      <c r="I8" s="27">
        <f>일위대가목록!G31</f>
        <v>131566</v>
      </c>
      <c r="J8" s="27">
        <f>ROUNDDOWN(D8*I8,2)</f>
        <v>131566</v>
      </c>
      <c r="K8" s="27">
        <f t="shared" si="0"/>
        <v>131566</v>
      </c>
      <c r="L8" s="27">
        <f t="shared" si="0"/>
        <v>131566</v>
      </c>
      <c r="M8" s="10" t="s">
        <v>315</v>
      </c>
      <c r="N8" s="25" t="s">
        <v>637</v>
      </c>
      <c r="O8" s="7" t="s">
        <v>757</v>
      </c>
      <c r="P8" s="7" t="s">
        <v>677</v>
      </c>
      <c r="Q8" s="7" t="s">
        <v>677</v>
      </c>
      <c r="R8" s="7" t="s">
        <v>94</v>
      </c>
      <c r="S8" s="28">
        <v>30</v>
      </c>
      <c r="T8" s="7" t="s">
        <v>677</v>
      </c>
      <c r="U8" s="28">
        <v>0</v>
      </c>
      <c r="V8" s="28">
        <v>1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</row>
    <row r="9" spans="1:28" ht="30" customHeight="1" x14ac:dyDescent="0.3">
      <c r="A9" s="10" t="s">
        <v>805</v>
      </c>
      <c r="B9" s="10" t="s">
        <v>779</v>
      </c>
      <c r="C9" s="10" t="s">
        <v>104</v>
      </c>
      <c r="D9" s="22">
        <v>1</v>
      </c>
      <c r="E9" s="27">
        <v>0</v>
      </c>
      <c r="F9" s="27">
        <f>ROUNDDOWN(D9*E9,2)</f>
        <v>0</v>
      </c>
      <c r="G9" s="27">
        <v>0</v>
      </c>
      <c r="H9" s="27">
        <f>ROUNDDOWN(D9*G9,2)</f>
        <v>0</v>
      </c>
      <c r="I9" s="27">
        <f>ROUNDDOWN(SUMIF(V6:V9, RIGHTB(O9, 1), L6:L9)*U9, 2)</f>
        <v>587132</v>
      </c>
      <c r="J9" s="27">
        <f>ROUNDDOWN(D9*I9,2)</f>
        <v>587132</v>
      </c>
      <c r="K9" s="27">
        <f t="shared" si="0"/>
        <v>587132</v>
      </c>
      <c r="L9" s="27">
        <f t="shared" si="0"/>
        <v>587132</v>
      </c>
      <c r="M9" s="10" t="s">
        <v>677</v>
      </c>
      <c r="N9" s="25" t="s">
        <v>637</v>
      </c>
      <c r="O9" s="7" t="s">
        <v>459</v>
      </c>
      <c r="P9" s="7" t="s">
        <v>677</v>
      </c>
      <c r="Q9" s="7" t="s">
        <v>677</v>
      </c>
      <c r="R9" s="7" t="s">
        <v>184</v>
      </c>
      <c r="S9" s="28">
        <v>40</v>
      </c>
      <c r="T9" s="7" t="s">
        <v>764</v>
      </c>
      <c r="U9" s="28">
        <v>1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</row>
    <row r="10" spans="1:28" ht="30" customHeight="1" x14ac:dyDescent="0.3">
      <c r="A10" s="10" t="s">
        <v>489</v>
      </c>
      <c r="B10" s="10" t="s">
        <v>677</v>
      </c>
      <c r="C10" s="10" t="s">
        <v>677</v>
      </c>
      <c r="D10" s="10" t="s">
        <v>677</v>
      </c>
      <c r="E10" s="27">
        <v>0</v>
      </c>
      <c r="F10" s="27">
        <f>ROUNDDOWN(SUMIF(R6:R9, " ", F6:F9),0)</f>
        <v>0</v>
      </c>
      <c r="G10" s="27">
        <v>0</v>
      </c>
      <c r="H10" s="27">
        <f>ROUNDDOWN(SUMIF(R6:R9, " ", H6:H9),0)</f>
        <v>0</v>
      </c>
      <c r="I10" s="27">
        <v>0</v>
      </c>
      <c r="J10" s="27">
        <f>ROUNDDOWN(SUMIF(R6:R9, " ", J6:J9),0)</f>
        <v>587132</v>
      </c>
      <c r="K10" s="30" t="s">
        <v>677</v>
      </c>
      <c r="L10" s="27">
        <f>F10+H10+J10</f>
        <v>587132</v>
      </c>
      <c r="M10" s="10"/>
      <c r="N10" s="9" t="s">
        <v>606</v>
      </c>
      <c r="O10" s="26" t="s">
        <v>606</v>
      </c>
    </row>
    <row r="11" spans="1:28" ht="30" customHeight="1" x14ac:dyDescent="0.3">
      <c r="A11" s="10" t="s">
        <v>677</v>
      </c>
      <c r="B11" s="10" t="s">
        <v>677</v>
      </c>
      <c r="C11" s="10" t="s">
        <v>677</v>
      </c>
      <c r="D11" s="10" t="s">
        <v>677</v>
      </c>
      <c r="E11" s="10" t="s">
        <v>677</v>
      </c>
      <c r="F11" s="10" t="s">
        <v>677</v>
      </c>
      <c r="G11" s="10" t="s">
        <v>677</v>
      </c>
      <c r="H11" s="10" t="s">
        <v>677</v>
      </c>
      <c r="I11" s="10" t="s">
        <v>677</v>
      </c>
      <c r="J11" s="10" t="s">
        <v>677</v>
      </c>
      <c r="K11" s="10" t="s">
        <v>677</v>
      </c>
      <c r="L11" s="10" t="s">
        <v>677</v>
      </c>
      <c r="M11" s="10" t="s">
        <v>677</v>
      </c>
    </row>
    <row r="12" spans="1:28" ht="30" customHeight="1" x14ac:dyDescent="0.3">
      <c r="A12" s="96" t="s">
        <v>222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8"/>
      <c r="N12" s="25" t="s">
        <v>428</v>
      </c>
    </row>
    <row r="13" spans="1:28" ht="30" customHeight="1" x14ac:dyDescent="0.3">
      <c r="A13" s="10" t="s">
        <v>1072</v>
      </c>
      <c r="B13" s="10" t="s">
        <v>1073</v>
      </c>
      <c r="C13" s="10" t="s">
        <v>1074</v>
      </c>
      <c r="D13" s="22">
        <v>1</v>
      </c>
      <c r="E13" s="27">
        <f>단가대비표!U6</f>
        <v>150000</v>
      </c>
      <c r="F13" s="27">
        <f>ROUNDDOWN(D13*E13,2)</f>
        <v>150000</v>
      </c>
      <c r="G13" s="27"/>
      <c r="H13" s="27">
        <f>ROUNDDOWN(D13*G13,2)</f>
        <v>0</v>
      </c>
      <c r="I13" s="27"/>
      <c r="J13" s="27">
        <f>ROUNDDOWN(D13*I13,2)</f>
        <v>0</v>
      </c>
      <c r="K13" s="27">
        <f t="shared" ref="K13:L13" si="1">ROUNDDOWN(E13+G13+I13,2)</f>
        <v>150000</v>
      </c>
      <c r="L13" s="27">
        <f t="shared" si="1"/>
        <v>150000</v>
      </c>
      <c r="M13" s="10" t="s">
        <v>677</v>
      </c>
      <c r="N13" s="25" t="s">
        <v>1075</v>
      </c>
      <c r="O13" s="7" t="s">
        <v>43</v>
      </c>
      <c r="P13" s="7" t="s">
        <v>677</v>
      </c>
      <c r="Q13" s="7" t="s">
        <v>677</v>
      </c>
      <c r="R13" s="7" t="s">
        <v>184</v>
      </c>
      <c r="S13" s="28">
        <v>0</v>
      </c>
      <c r="T13" s="7" t="s">
        <v>677</v>
      </c>
      <c r="U13" s="28">
        <v>0</v>
      </c>
      <c r="V13" s="28">
        <v>1</v>
      </c>
      <c r="W13" s="28">
        <v>2</v>
      </c>
      <c r="X13" s="28">
        <v>0</v>
      </c>
      <c r="Y13" s="28">
        <v>0</v>
      </c>
      <c r="Z13" s="28">
        <v>0</v>
      </c>
      <c r="AA13" s="28">
        <v>0</v>
      </c>
      <c r="AB13" s="28">
        <v>0</v>
      </c>
    </row>
    <row r="14" spans="1:28" ht="30" customHeight="1" x14ac:dyDescent="0.3">
      <c r="A14" s="10" t="s">
        <v>977</v>
      </c>
      <c r="B14" s="10" t="s">
        <v>220</v>
      </c>
      <c r="C14" s="10" t="s">
        <v>526</v>
      </c>
      <c r="D14" s="22">
        <v>0.12</v>
      </c>
      <c r="E14" s="27">
        <f>단가대비표!U37</f>
        <v>0</v>
      </c>
      <c r="F14" s="27">
        <f>ROUNDDOWN(D14*E14,2)</f>
        <v>0</v>
      </c>
      <c r="G14" s="27">
        <f>단가대비표!V37</f>
        <v>153671</v>
      </c>
      <c r="H14" s="27">
        <f>ROUNDDOWN(D14*G14,2)</f>
        <v>18440.52</v>
      </c>
      <c r="I14" s="27">
        <f>단가대비표!AE37</f>
        <v>0</v>
      </c>
      <c r="J14" s="27">
        <f>ROUNDDOWN(D14*I14,2)</f>
        <v>0</v>
      </c>
      <c r="K14" s="27">
        <f>ROUNDDOWN(E14+G14+I14,2)</f>
        <v>153671</v>
      </c>
      <c r="L14" s="27">
        <f>ROUNDDOWN(F14+H14+J14,2)</f>
        <v>18440.52</v>
      </c>
      <c r="M14" s="10" t="s">
        <v>122</v>
      </c>
      <c r="N14" s="25" t="s">
        <v>428</v>
      </c>
      <c r="O14" s="7" t="s">
        <v>43</v>
      </c>
      <c r="P14" s="7" t="s">
        <v>677</v>
      </c>
      <c r="Q14" s="7" t="s">
        <v>677</v>
      </c>
      <c r="R14" s="7" t="s">
        <v>184</v>
      </c>
      <c r="S14" s="28">
        <v>10</v>
      </c>
      <c r="T14" s="7" t="s">
        <v>677</v>
      </c>
      <c r="U14" s="28">
        <v>0</v>
      </c>
      <c r="V14" s="28">
        <v>1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</row>
    <row r="15" spans="1:28" ht="30" customHeight="1" x14ac:dyDescent="0.3">
      <c r="A15" s="10" t="s">
        <v>941</v>
      </c>
      <c r="B15" s="10" t="s">
        <v>80</v>
      </c>
      <c r="C15" s="10" t="s">
        <v>104</v>
      </c>
      <c r="D15" s="22">
        <v>1</v>
      </c>
      <c r="E15" s="27">
        <f>ROUNDDOWN(SUMIF(V14:V15, RIGHTB(O15, 1), H14:H15)*U15, 2)</f>
        <v>368.81</v>
      </c>
      <c r="F15" s="27">
        <f>ROUNDDOWN(D15*E15,2)</f>
        <v>368.81</v>
      </c>
      <c r="G15" s="27">
        <v>0</v>
      </c>
      <c r="H15" s="27">
        <f>ROUNDDOWN(D15*G15,2)</f>
        <v>0</v>
      </c>
      <c r="I15" s="27">
        <v>0</v>
      </c>
      <c r="J15" s="27">
        <f>ROUNDDOWN(D15*I15,2)</f>
        <v>0</v>
      </c>
      <c r="K15" s="27">
        <f>ROUNDDOWN(E15+G15+I15,2)</f>
        <v>368.81</v>
      </c>
      <c r="L15" s="27">
        <f>ROUNDDOWN(F15+H15+J15,2)</f>
        <v>368.81</v>
      </c>
      <c r="M15" s="10"/>
      <c r="N15" s="25" t="s">
        <v>428</v>
      </c>
      <c r="O15" s="7" t="s">
        <v>459</v>
      </c>
      <c r="P15" s="7" t="s">
        <v>677</v>
      </c>
      <c r="Q15" s="7" t="s">
        <v>677</v>
      </c>
      <c r="R15" s="7" t="s">
        <v>184</v>
      </c>
      <c r="S15" s="28">
        <v>20</v>
      </c>
      <c r="T15" s="7" t="s">
        <v>554</v>
      </c>
      <c r="U15" s="28">
        <v>0.02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</row>
    <row r="16" spans="1:28" ht="30" customHeight="1" x14ac:dyDescent="0.3">
      <c r="A16" s="10" t="s">
        <v>489</v>
      </c>
      <c r="B16" s="10" t="s">
        <v>677</v>
      </c>
      <c r="C16" s="10" t="s">
        <v>677</v>
      </c>
      <c r="D16" s="10" t="s">
        <v>677</v>
      </c>
      <c r="E16" s="27">
        <v>0</v>
      </c>
      <c r="F16" s="27">
        <f>ROUNDDOWN(SUMIF(R14:R15, " ", F13:F15),0)</f>
        <v>150000</v>
      </c>
      <c r="G16" s="27">
        <v>0</v>
      </c>
      <c r="H16" s="27">
        <f>ROUNDDOWN(SUMIF(R14:R15, " ", H14:H15),0)</f>
        <v>18440</v>
      </c>
      <c r="I16" s="27">
        <v>0</v>
      </c>
      <c r="J16" s="27">
        <f>ROUNDDOWN(SUMIF(R14:R15, " ", J14:J15),0)</f>
        <v>0</v>
      </c>
      <c r="K16" s="30" t="s">
        <v>677</v>
      </c>
      <c r="L16" s="27">
        <f>F16+H16+J16</f>
        <v>168440</v>
      </c>
      <c r="M16" s="10"/>
      <c r="N16" s="9" t="s">
        <v>606</v>
      </c>
      <c r="O16" s="26" t="s">
        <v>606</v>
      </c>
    </row>
    <row r="17" spans="1:28" ht="30" customHeight="1" x14ac:dyDescent="0.3">
      <c r="A17" s="10" t="s">
        <v>677</v>
      </c>
      <c r="B17" s="10" t="s">
        <v>677</v>
      </c>
      <c r="C17" s="10" t="s">
        <v>677</v>
      </c>
      <c r="D17" s="10" t="s">
        <v>677</v>
      </c>
      <c r="E17" s="10" t="s">
        <v>677</v>
      </c>
      <c r="F17" s="10" t="s">
        <v>677</v>
      </c>
      <c r="G17" s="10" t="s">
        <v>677</v>
      </c>
      <c r="H17" s="10" t="s">
        <v>677</v>
      </c>
      <c r="I17" s="10" t="s">
        <v>677</v>
      </c>
      <c r="J17" s="10" t="s">
        <v>677</v>
      </c>
      <c r="K17" s="10" t="s">
        <v>677</v>
      </c>
      <c r="L17" s="10" t="s">
        <v>677</v>
      </c>
      <c r="M17" s="10" t="s">
        <v>677</v>
      </c>
    </row>
    <row r="18" spans="1:28" ht="30" customHeight="1" x14ac:dyDescent="0.3">
      <c r="A18" s="96" t="s">
        <v>372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8"/>
      <c r="N18" s="25" t="s">
        <v>1027</v>
      </c>
    </row>
    <row r="19" spans="1:28" ht="30" customHeight="1" x14ac:dyDescent="0.3">
      <c r="A19" s="10" t="s">
        <v>687</v>
      </c>
      <c r="B19" s="10" t="s">
        <v>220</v>
      </c>
      <c r="C19" s="10" t="s">
        <v>526</v>
      </c>
      <c r="D19" s="22">
        <v>0.56999999999999995</v>
      </c>
      <c r="E19" s="27">
        <f>단가대비표!U45</f>
        <v>0</v>
      </c>
      <c r="F19" s="27">
        <f>ROUNDDOWN(D19*E19,2)</f>
        <v>0</v>
      </c>
      <c r="G19" s="27">
        <f>단가대비표!V45</f>
        <v>189031</v>
      </c>
      <c r="H19" s="27">
        <f>ROUNDDOWN(D19*G19,2)</f>
        <v>107747.67</v>
      </c>
      <c r="I19" s="27">
        <f>단가대비표!AE45</f>
        <v>0</v>
      </c>
      <c r="J19" s="27">
        <f>ROUNDDOWN(D19*I19,2)</f>
        <v>0</v>
      </c>
      <c r="K19" s="27">
        <f t="shared" ref="K19:L23" si="2">ROUNDDOWN(E19+G19+I19,2)</f>
        <v>189031</v>
      </c>
      <c r="L19" s="27">
        <f t="shared" si="2"/>
        <v>107747.67</v>
      </c>
      <c r="M19" s="10" t="s">
        <v>735</v>
      </c>
      <c r="N19" s="25" t="s">
        <v>1027</v>
      </c>
      <c r="O19" s="7" t="s">
        <v>337</v>
      </c>
      <c r="P19" s="7" t="s">
        <v>677</v>
      </c>
      <c r="Q19" s="7" t="s">
        <v>677</v>
      </c>
      <c r="R19" s="7" t="s">
        <v>184</v>
      </c>
      <c r="S19" s="28">
        <v>10</v>
      </c>
      <c r="T19" s="7" t="s">
        <v>677</v>
      </c>
      <c r="U19" s="28">
        <v>0</v>
      </c>
      <c r="V19" s="28">
        <v>1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</row>
    <row r="20" spans="1:28" ht="30" customHeight="1" x14ac:dyDescent="0.3">
      <c r="A20" s="10" t="s">
        <v>977</v>
      </c>
      <c r="B20" s="10" t="s">
        <v>220</v>
      </c>
      <c r="C20" s="10" t="s">
        <v>526</v>
      </c>
      <c r="D20" s="22">
        <v>0.37</v>
      </c>
      <c r="E20" s="27">
        <f>단가대비표!U37</f>
        <v>0</v>
      </c>
      <c r="F20" s="27">
        <f>ROUNDDOWN(D20*E20,2)</f>
        <v>0</v>
      </c>
      <c r="G20" s="27">
        <f>단가대비표!V37</f>
        <v>153671</v>
      </c>
      <c r="H20" s="27">
        <f>ROUNDDOWN(D20*G20,2)</f>
        <v>56858.27</v>
      </c>
      <c r="I20" s="27">
        <f>단가대비표!AE37</f>
        <v>0</v>
      </c>
      <c r="J20" s="27">
        <f>ROUNDDOWN(D20*I20,2)</f>
        <v>0</v>
      </c>
      <c r="K20" s="27">
        <f t="shared" si="2"/>
        <v>153671</v>
      </c>
      <c r="L20" s="27">
        <f t="shared" si="2"/>
        <v>56858.27</v>
      </c>
      <c r="M20" s="10" t="s">
        <v>122</v>
      </c>
      <c r="N20" s="25" t="s">
        <v>1027</v>
      </c>
      <c r="O20" s="7" t="s">
        <v>43</v>
      </c>
      <c r="P20" s="7" t="s">
        <v>677</v>
      </c>
      <c r="Q20" s="7" t="s">
        <v>677</v>
      </c>
      <c r="R20" s="7" t="s">
        <v>184</v>
      </c>
      <c r="S20" s="28">
        <v>20</v>
      </c>
      <c r="T20" s="7" t="s">
        <v>677</v>
      </c>
      <c r="U20" s="28">
        <v>0</v>
      </c>
      <c r="V20" s="28">
        <v>1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</row>
    <row r="21" spans="1:28" ht="30" customHeight="1" x14ac:dyDescent="0.3">
      <c r="A21" s="10" t="s">
        <v>799</v>
      </c>
      <c r="B21" s="10" t="s">
        <v>832</v>
      </c>
      <c r="C21" s="10" t="s">
        <v>249</v>
      </c>
      <c r="D21" s="22">
        <v>0.5</v>
      </c>
      <c r="E21" s="27">
        <f>일위대가목록!E47</f>
        <v>12749</v>
      </c>
      <c r="F21" s="27">
        <f>ROUNDDOWN(D21*E21,2)</f>
        <v>6374.5</v>
      </c>
      <c r="G21" s="27">
        <f>일위대가목록!F47</f>
        <v>47967</v>
      </c>
      <c r="H21" s="27">
        <f>ROUNDDOWN(D21*G21,2)</f>
        <v>23983.5</v>
      </c>
      <c r="I21" s="27">
        <f>일위대가목록!G47</f>
        <v>2194</v>
      </c>
      <c r="J21" s="27">
        <f>ROUNDDOWN(D21*I21,2)</f>
        <v>1097</v>
      </c>
      <c r="K21" s="27">
        <f t="shared" si="2"/>
        <v>62910</v>
      </c>
      <c r="L21" s="27">
        <f t="shared" si="2"/>
        <v>31455</v>
      </c>
      <c r="M21" s="10" t="s">
        <v>990</v>
      </c>
      <c r="N21" s="25" t="s">
        <v>1027</v>
      </c>
      <c r="O21" s="7" t="s">
        <v>981</v>
      </c>
      <c r="P21" s="7" t="s">
        <v>677</v>
      </c>
      <c r="Q21" s="7" t="s">
        <v>677</v>
      </c>
      <c r="R21" s="7" t="s">
        <v>184</v>
      </c>
      <c r="S21" s="28">
        <v>30</v>
      </c>
      <c r="T21" s="7" t="s">
        <v>677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</row>
    <row r="22" spans="1:28" ht="30" customHeight="1" x14ac:dyDescent="0.3">
      <c r="A22" s="10" t="s">
        <v>370</v>
      </c>
      <c r="B22" s="10" t="s">
        <v>457</v>
      </c>
      <c r="C22" s="10" t="s">
        <v>104</v>
      </c>
      <c r="D22" s="22">
        <v>1</v>
      </c>
      <c r="E22" s="27">
        <f>ROUNDDOWN(SUMIF(V19:V23, RIGHTB(O22, 1), H19:H23)*U22, 2)</f>
        <v>1646.05</v>
      </c>
      <c r="F22" s="27">
        <f>ROUNDDOWN(D22*E22,2)</f>
        <v>1646.05</v>
      </c>
      <c r="G22" s="27">
        <v>0</v>
      </c>
      <c r="H22" s="27">
        <f>ROUNDDOWN(D22*G22,2)</f>
        <v>0</v>
      </c>
      <c r="I22" s="27">
        <v>0</v>
      </c>
      <c r="J22" s="27">
        <f>ROUNDDOWN(D22*I22,2)</f>
        <v>0</v>
      </c>
      <c r="K22" s="27">
        <f t="shared" si="2"/>
        <v>1646.05</v>
      </c>
      <c r="L22" s="27">
        <f t="shared" si="2"/>
        <v>1646.05</v>
      </c>
      <c r="M22" s="10"/>
      <c r="N22" s="25" t="s">
        <v>1027</v>
      </c>
      <c r="O22" s="7" t="s">
        <v>459</v>
      </c>
      <c r="P22" s="7" t="s">
        <v>677</v>
      </c>
      <c r="Q22" s="7" t="s">
        <v>677</v>
      </c>
      <c r="R22" s="7" t="s">
        <v>184</v>
      </c>
      <c r="S22" s="28">
        <v>40</v>
      </c>
      <c r="T22" s="7" t="s">
        <v>112</v>
      </c>
      <c r="U22" s="28">
        <v>0.01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</row>
    <row r="23" spans="1:28" ht="30" customHeight="1" x14ac:dyDescent="0.3">
      <c r="A23" s="10" t="s">
        <v>962</v>
      </c>
      <c r="B23" s="10" t="s">
        <v>917</v>
      </c>
      <c r="C23" s="10" t="s">
        <v>249</v>
      </c>
      <c r="D23" s="22">
        <v>1</v>
      </c>
      <c r="E23" s="27">
        <f>일위대가목록!E48</f>
        <v>0</v>
      </c>
      <c r="F23" s="27">
        <f>ROUNDDOWN(D23*E23,2)</f>
        <v>0</v>
      </c>
      <c r="G23" s="27">
        <f>일위대가목록!F48</f>
        <v>0</v>
      </c>
      <c r="H23" s="27">
        <f>ROUNDDOWN(D23*G23,2)</f>
        <v>0</v>
      </c>
      <c r="I23" s="27">
        <f>일위대가목록!G48</f>
        <v>439</v>
      </c>
      <c r="J23" s="27">
        <f>ROUNDDOWN(D23*I23,2)</f>
        <v>439</v>
      </c>
      <c r="K23" s="27">
        <f t="shared" si="2"/>
        <v>439</v>
      </c>
      <c r="L23" s="27">
        <f t="shared" si="2"/>
        <v>439</v>
      </c>
      <c r="M23" s="10" t="s">
        <v>510</v>
      </c>
      <c r="N23" s="25" t="s">
        <v>1027</v>
      </c>
      <c r="O23" s="7" t="s">
        <v>592</v>
      </c>
      <c r="P23" s="7" t="s">
        <v>677</v>
      </c>
      <c r="Q23" s="7" t="s">
        <v>677</v>
      </c>
      <c r="R23" s="7" t="s">
        <v>184</v>
      </c>
      <c r="S23" s="28">
        <v>50</v>
      </c>
      <c r="T23" s="7" t="s">
        <v>677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</row>
    <row r="24" spans="1:28" ht="30" customHeight="1" x14ac:dyDescent="0.3">
      <c r="A24" s="10" t="s">
        <v>489</v>
      </c>
      <c r="B24" s="10" t="s">
        <v>677</v>
      </c>
      <c r="C24" s="10" t="s">
        <v>677</v>
      </c>
      <c r="D24" s="10" t="s">
        <v>677</v>
      </c>
      <c r="E24" s="27">
        <v>0</v>
      </c>
      <c r="F24" s="27">
        <f>ROUNDDOWN(SUMIF(R19:R23, " ", F19:F23),0)</f>
        <v>8020</v>
      </c>
      <c r="G24" s="27">
        <v>0</v>
      </c>
      <c r="H24" s="27">
        <f>ROUNDDOWN(SUMIF(R19:R23, " ", H19:H23),0)</f>
        <v>188589</v>
      </c>
      <c r="I24" s="27">
        <v>0</v>
      </c>
      <c r="J24" s="27">
        <f>ROUNDDOWN(SUMIF(R19:R23, " ", J19:J23),0)</f>
        <v>1536</v>
      </c>
      <c r="K24" s="30" t="s">
        <v>677</v>
      </c>
      <c r="L24" s="27">
        <f>F24+H24+J24</f>
        <v>198145</v>
      </c>
      <c r="M24" s="10"/>
      <c r="N24" s="9" t="s">
        <v>606</v>
      </c>
      <c r="O24" s="26" t="s">
        <v>606</v>
      </c>
    </row>
    <row r="25" spans="1:28" ht="30" customHeight="1" x14ac:dyDescent="0.3">
      <c r="A25" s="10" t="s">
        <v>677</v>
      </c>
      <c r="B25" s="10" t="s">
        <v>677</v>
      </c>
      <c r="C25" s="10" t="s">
        <v>677</v>
      </c>
      <c r="D25" s="10" t="s">
        <v>677</v>
      </c>
      <c r="E25" s="10" t="s">
        <v>677</v>
      </c>
      <c r="F25" s="10" t="s">
        <v>677</v>
      </c>
      <c r="G25" s="10" t="s">
        <v>677</v>
      </c>
      <c r="H25" s="10" t="s">
        <v>677</v>
      </c>
      <c r="I25" s="10" t="s">
        <v>677</v>
      </c>
      <c r="J25" s="10" t="s">
        <v>677</v>
      </c>
      <c r="K25" s="10" t="s">
        <v>677</v>
      </c>
      <c r="L25" s="10" t="s">
        <v>677</v>
      </c>
      <c r="M25" s="10" t="s">
        <v>677</v>
      </c>
    </row>
    <row r="26" spans="1:28" ht="30" customHeight="1" x14ac:dyDescent="0.3">
      <c r="A26" s="96" t="s">
        <v>274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8"/>
      <c r="N26" s="25" t="s">
        <v>219</v>
      </c>
    </row>
    <row r="27" spans="1:28" ht="30" customHeight="1" x14ac:dyDescent="0.3">
      <c r="A27" s="10" t="s">
        <v>977</v>
      </c>
      <c r="B27" s="10" t="s">
        <v>220</v>
      </c>
      <c r="C27" s="10" t="s">
        <v>526</v>
      </c>
      <c r="D27" s="22">
        <v>0.06</v>
      </c>
      <c r="E27" s="27">
        <f>단가대비표!U37</f>
        <v>0</v>
      </c>
      <c r="F27" s="27">
        <f>ROUNDDOWN(D27*E27,2)</f>
        <v>0</v>
      </c>
      <c r="G27" s="27">
        <f>단가대비표!V37</f>
        <v>153671</v>
      </c>
      <c r="H27" s="27">
        <f>ROUNDDOWN(D27*G27,2)</f>
        <v>9220.26</v>
      </c>
      <c r="I27" s="27">
        <f>단가대비표!AE37</f>
        <v>0</v>
      </c>
      <c r="J27" s="27">
        <f>ROUNDDOWN(D27*I27,2)</f>
        <v>0</v>
      </c>
      <c r="K27" s="27">
        <f>ROUNDDOWN(E27+G27+I27,2)</f>
        <v>153671</v>
      </c>
      <c r="L27" s="27">
        <f>ROUNDDOWN(F27+H27+J27,2)</f>
        <v>9220.26</v>
      </c>
      <c r="M27" s="10" t="s">
        <v>122</v>
      </c>
      <c r="N27" s="25" t="s">
        <v>219</v>
      </c>
      <c r="O27" s="7" t="s">
        <v>43</v>
      </c>
      <c r="P27" s="7" t="s">
        <v>677</v>
      </c>
      <c r="Q27" s="7" t="s">
        <v>677</v>
      </c>
      <c r="R27" s="7" t="s">
        <v>184</v>
      </c>
      <c r="S27" s="28">
        <v>10</v>
      </c>
      <c r="T27" s="7" t="s">
        <v>677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</row>
    <row r="28" spans="1:28" ht="30" customHeight="1" x14ac:dyDescent="0.3">
      <c r="A28" s="10" t="s">
        <v>631</v>
      </c>
      <c r="B28" s="10" t="s">
        <v>681</v>
      </c>
      <c r="C28" s="10" t="s">
        <v>249</v>
      </c>
      <c r="D28" s="22">
        <v>0.41</v>
      </c>
      <c r="E28" s="27">
        <f>일위대가목록!E38</f>
        <v>6863</v>
      </c>
      <c r="F28" s="27">
        <f>ROUNDDOWN(D28*E28,2)</f>
        <v>2813.83</v>
      </c>
      <c r="G28" s="27">
        <f>일위대가목록!F38</f>
        <v>47967</v>
      </c>
      <c r="H28" s="27">
        <f>ROUNDDOWN(D28*G28,2)</f>
        <v>19666.47</v>
      </c>
      <c r="I28" s="27">
        <f>일위대가목록!G38</f>
        <v>8768</v>
      </c>
      <c r="J28" s="27">
        <f>ROUNDDOWN(D28*I28,2)</f>
        <v>3594.88</v>
      </c>
      <c r="K28" s="27">
        <f>ROUNDDOWN(E28+G28+I28,2)</f>
        <v>63598</v>
      </c>
      <c r="L28" s="27">
        <f>ROUNDDOWN(F28+H28+J28,2)</f>
        <v>26075.18</v>
      </c>
      <c r="M28" s="10" t="s">
        <v>845</v>
      </c>
      <c r="N28" s="25" t="s">
        <v>219</v>
      </c>
      <c r="O28" s="7" t="s">
        <v>765</v>
      </c>
      <c r="P28" s="7" t="s">
        <v>677</v>
      </c>
      <c r="Q28" s="7" t="s">
        <v>677</v>
      </c>
      <c r="R28" s="7" t="s">
        <v>184</v>
      </c>
      <c r="S28" s="28">
        <v>20</v>
      </c>
      <c r="T28" s="7" t="s">
        <v>677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</row>
    <row r="29" spans="1:28" ht="30" customHeight="1" x14ac:dyDescent="0.3">
      <c r="A29" s="10" t="s">
        <v>489</v>
      </c>
      <c r="B29" s="10" t="s">
        <v>677</v>
      </c>
      <c r="C29" s="10" t="s">
        <v>677</v>
      </c>
      <c r="D29" s="10" t="s">
        <v>677</v>
      </c>
      <c r="E29" s="27">
        <v>0</v>
      </c>
      <c r="F29" s="27">
        <f>ROUNDDOWN(SUMIF(R27:R28, " ", F27:F28),0)</f>
        <v>2813</v>
      </c>
      <c r="G29" s="27">
        <v>0</v>
      </c>
      <c r="H29" s="27">
        <f>ROUNDDOWN(SUMIF(R27:R28, " ", H27:H28),0)</f>
        <v>28886</v>
      </c>
      <c r="I29" s="27">
        <v>0</v>
      </c>
      <c r="J29" s="27">
        <f>ROUNDDOWN(SUMIF(R27:R28, " ", J27:J28),0)</f>
        <v>3594</v>
      </c>
      <c r="K29" s="30" t="s">
        <v>677</v>
      </c>
      <c r="L29" s="27">
        <f>F29+H29+J29</f>
        <v>35293</v>
      </c>
      <c r="M29" s="10"/>
      <c r="N29" s="9" t="s">
        <v>606</v>
      </c>
      <c r="O29" s="26" t="s">
        <v>606</v>
      </c>
    </row>
    <row r="30" spans="1:28" ht="30" customHeight="1" x14ac:dyDescent="0.3">
      <c r="A30" s="10" t="s">
        <v>677</v>
      </c>
      <c r="B30" s="10" t="s">
        <v>677</v>
      </c>
      <c r="C30" s="10" t="s">
        <v>677</v>
      </c>
      <c r="D30" s="10" t="s">
        <v>677</v>
      </c>
      <c r="E30" s="10" t="s">
        <v>677</v>
      </c>
      <c r="F30" s="10" t="s">
        <v>677</v>
      </c>
      <c r="G30" s="10" t="s">
        <v>677</v>
      </c>
      <c r="H30" s="10" t="s">
        <v>677</v>
      </c>
      <c r="I30" s="10" t="s">
        <v>677</v>
      </c>
      <c r="J30" s="10" t="s">
        <v>677</v>
      </c>
      <c r="K30" s="10" t="s">
        <v>677</v>
      </c>
      <c r="L30" s="10" t="s">
        <v>677</v>
      </c>
      <c r="M30" s="10" t="s">
        <v>677</v>
      </c>
    </row>
    <row r="31" spans="1:28" ht="30" customHeight="1" x14ac:dyDescent="0.3">
      <c r="A31" s="96" t="s">
        <v>1092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8"/>
      <c r="N31" s="25" t="s">
        <v>1045</v>
      </c>
    </row>
    <row r="32" spans="1:28" ht="30" customHeight="1" x14ac:dyDescent="0.3">
      <c r="A32" s="10" t="s">
        <v>1089</v>
      </c>
      <c r="B32" s="10"/>
      <c r="C32" s="10" t="s">
        <v>1087</v>
      </c>
      <c r="D32" s="22">
        <v>1</v>
      </c>
      <c r="E32" s="27">
        <f>단가대비표!U16</f>
        <v>20000</v>
      </c>
      <c r="F32" s="27">
        <f>ROUNDDOWN(D32*E32,2)</f>
        <v>20000</v>
      </c>
      <c r="G32" s="27"/>
      <c r="H32" s="27">
        <f>ROUNDDOWN(D32*G32,2)</f>
        <v>0</v>
      </c>
      <c r="I32" s="27"/>
      <c r="J32" s="27">
        <f>ROUNDDOWN(D32*I32,2)</f>
        <v>0</v>
      </c>
      <c r="K32" s="27">
        <f t="shared" ref="K32:L32" si="3">ROUNDDOWN(E32+G32+I32,2)</f>
        <v>20000</v>
      </c>
      <c r="L32" s="27">
        <f t="shared" si="3"/>
        <v>20000</v>
      </c>
      <c r="M32" s="10"/>
      <c r="N32" s="25" t="s">
        <v>1090</v>
      </c>
      <c r="O32" s="7" t="s">
        <v>200</v>
      </c>
      <c r="P32" s="7" t="s">
        <v>677</v>
      </c>
      <c r="Q32" s="7" t="s">
        <v>677</v>
      </c>
      <c r="R32" s="7" t="s">
        <v>184</v>
      </c>
      <c r="S32" s="28">
        <v>10</v>
      </c>
      <c r="T32" s="7" t="s">
        <v>677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</row>
    <row r="33" spans="1:28" ht="30" customHeight="1" x14ac:dyDescent="0.3">
      <c r="A33" s="10" t="s">
        <v>631</v>
      </c>
      <c r="B33" s="10" t="s">
        <v>876</v>
      </c>
      <c r="C33" s="10" t="s">
        <v>249</v>
      </c>
      <c r="D33" s="22">
        <v>7.0000000000000007E-2</v>
      </c>
      <c r="E33" s="27">
        <f>일위대가목록!E39</f>
        <v>10724</v>
      </c>
      <c r="F33" s="27">
        <f>ROUNDDOWN(D33*E33,2)</f>
        <v>750.68</v>
      </c>
      <c r="G33" s="27">
        <f>일위대가목록!F39</f>
        <v>47967</v>
      </c>
      <c r="H33" s="27">
        <f>ROUNDDOWN(D33*G33,2)</f>
        <v>3357.69</v>
      </c>
      <c r="I33" s="27">
        <f>일위대가목록!G39</f>
        <v>12688</v>
      </c>
      <c r="J33" s="27">
        <f>ROUNDDOWN(D33*I33,2)</f>
        <v>888.16</v>
      </c>
      <c r="K33" s="27">
        <f>ROUNDDOWN(E33+G33+I33,2)</f>
        <v>71379</v>
      </c>
      <c r="L33" s="27">
        <f>ROUNDDOWN(F33+H33+J33,2)</f>
        <v>4996.53</v>
      </c>
      <c r="M33" s="10" t="s">
        <v>55</v>
      </c>
      <c r="N33" s="25" t="s">
        <v>1045</v>
      </c>
      <c r="O33" s="7" t="s">
        <v>200</v>
      </c>
      <c r="P33" s="7" t="s">
        <v>677</v>
      </c>
      <c r="Q33" s="7" t="s">
        <v>677</v>
      </c>
      <c r="R33" s="7" t="s">
        <v>184</v>
      </c>
      <c r="S33" s="28">
        <v>10</v>
      </c>
      <c r="T33" s="7" t="s">
        <v>677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</row>
    <row r="34" spans="1:28" ht="30" customHeight="1" x14ac:dyDescent="0.3">
      <c r="A34" s="10" t="s">
        <v>172</v>
      </c>
      <c r="B34" s="10" t="s">
        <v>581</v>
      </c>
      <c r="C34" s="10" t="s">
        <v>249</v>
      </c>
      <c r="D34" s="22">
        <v>8.5999999999999993E-2</v>
      </c>
      <c r="E34" s="27">
        <f>일위대가목록!E44</f>
        <v>4406</v>
      </c>
      <c r="F34" s="27">
        <f>ROUNDDOWN(D34*E34,2)</f>
        <v>378.91</v>
      </c>
      <c r="G34" s="27">
        <f>일위대가목록!F44</f>
        <v>31597</v>
      </c>
      <c r="H34" s="27">
        <f>ROUNDDOWN(D34*G34,2)</f>
        <v>2717.34</v>
      </c>
      <c r="I34" s="27">
        <f>일위대가목록!G44</f>
        <v>1767</v>
      </c>
      <c r="J34" s="27">
        <f>ROUNDDOWN(D34*I34,2)</f>
        <v>151.96</v>
      </c>
      <c r="K34" s="27">
        <f>ROUNDDOWN(E34+G34+I34,2)</f>
        <v>37770</v>
      </c>
      <c r="L34" s="27">
        <f>ROUNDDOWN(F34+H34+J34,2)</f>
        <v>3248.21</v>
      </c>
      <c r="M34" s="10" t="s">
        <v>1030</v>
      </c>
      <c r="N34" s="25" t="s">
        <v>1045</v>
      </c>
      <c r="O34" s="7" t="s">
        <v>136</v>
      </c>
      <c r="P34" s="7" t="s">
        <v>677</v>
      </c>
      <c r="Q34" s="7" t="s">
        <v>677</v>
      </c>
      <c r="R34" s="7" t="s">
        <v>184</v>
      </c>
      <c r="S34" s="28">
        <v>20</v>
      </c>
      <c r="T34" s="7" t="s">
        <v>677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</row>
    <row r="35" spans="1:28" ht="30" customHeight="1" x14ac:dyDescent="0.3">
      <c r="A35" s="10" t="s">
        <v>489</v>
      </c>
      <c r="B35" s="10" t="s">
        <v>677</v>
      </c>
      <c r="C35" s="10" t="s">
        <v>677</v>
      </c>
      <c r="D35" s="10" t="s">
        <v>677</v>
      </c>
      <c r="E35" s="27">
        <v>0</v>
      </c>
      <c r="F35" s="27">
        <f>ROUNDDOWN(SUMIF(R33:R34, " ", F32:F34),0)</f>
        <v>20750</v>
      </c>
      <c r="G35" s="27">
        <v>0</v>
      </c>
      <c r="H35" s="27">
        <f>ROUNDDOWN(SUMIF(R33:R34, " ", H32:H34),0)</f>
        <v>3357</v>
      </c>
      <c r="I35" s="27">
        <v>0</v>
      </c>
      <c r="J35" s="27">
        <f>ROUNDDOWN(SUMIF(R33:R34, " ", J32:J34),0)</f>
        <v>888</v>
      </c>
      <c r="K35" s="30" t="s">
        <v>677</v>
      </c>
      <c r="L35" s="27">
        <f>F35+H35+J35</f>
        <v>24995</v>
      </c>
      <c r="M35" s="10"/>
      <c r="N35" s="9" t="s">
        <v>606</v>
      </c>
      <c r="O35" s="26" t="s">
        <v>606</v>
      </c>
    </row>
    <row r="36" spans="1:28" ht="30" customHeight="1" x14ac:dyDescent="0.3">
      <c r="A36" s="10" t="s">
        <v>677</v>
      </c>
      <c r="B36" s="10" t="s">
        <v>677</v>
      </c>
      <c r="C36" s="10" t="s">
        <v>677</v>
      </c>
      <c r="D36" s="10" t="s">
        <v>677</v>
      </c>
      <c r="E36" s="10" t="s">
        <v>677</v>
      </c>
      <c r="F36" s="10" t="s">
        <v>677</v>
      </c>
      <c r="G36" s="10" t="s">
        <v>677</v>
      </c>
      <c r="H36" s="10" t="s">
        <v>677</v>
      </c>
      <c r="I36" s="10" t="s">
        <v>677</v>
      </c>
      <c r="J36" s="10" t="s">
        <v>677</v>
      </c>
      <c r="K36" s="10" t="s">
        <v>677</v>
      </c>
      <c r="L36" s="10" t="s">
        <v>677</v>
      </c>
      <c r="M36" s="10" t="s">
        <v>677</v>
      </c>
    </row>
    <row r="37" spans="1:28" ht="30" customHeight="1" x14ac:dyDescent="0.3">
      <c r="A37" s="96" t="s">
        <v>900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8"/>
      <c r="N37" s="25" t="s">
        <v>532</v>
      </c>
    </row>
    <row r="38" spans="1:28" ht="30" customHeight="1" x14ac:dyDescent="0.3">
      <c r="A38" s="10" t="s">
        <v>859</v>
      </c>
      <c r="B38" s="10" t="s">
        <v>220</v>
      </c>
      <c r="C38" s="10" t="s">
        <v>526</v>
      </c>
      <c r="D38" s="22">
        <v>0.06</v>
      </c>
      <c r="E38" s="27">
        <f>단가대비표!U44</f>
        <v>0</v>
      </c>
      <c r="F38" s="27">
        <f>ROUNDDOWN(D38*E38,2)</f>
        <v>0</v>
      </c>
      <c r="G38" s="27">
        <f>단가대비표!V44</f>
        <v>235988</v>
      </c>
      <c r="H38" s="27">
        <f>ROUNDDOWN(D38*G38,2)</f>
        <v>14159.28</v>
      </c>
      <c r="I38" s="27">
        <f>단가대비표!AE44</f>
        <v>0</v>
      </c>
      <c r="J38" s="27">
        <f>ROUNDDOWN(D38*I38,2)</f>
        <v>0</v>
      </c>
      <c r="K38" s="27">
        <f t="shared" ref="K38:L41" si="4">ROUNDDOWN(E38+G38+I38,2)</f>
        <v>235988</v>
      </c>
      <c r="L38" s="27">
        <f t="shared" si="4"/>
        <v>14159.28</v>
      </c>
      <c r="M38" s="10" t="s">
        <v>108</v>
      </c>
      <c r="N38" s="25" t="s">
        <v>532</v>
      </c>
      <c r="O38" s="7" t="s">
        <v>340</v>
      </c>
      <c r="P38" s="7" t="s">
        <v>677</v>
      </c>
      <c r="Q38" s="7" t="s">
        <v>677</v>
      </c>
      <c r="R38" s="7" t="s">
        <v>184</v>
      </c>
      <c r="S38" s="28">
        <v>10</v>
      </c>
      <c r="T38" s="7" t="s">
        <v>677</v>
      </c>
      <c r="U38" s="28">
        <v>0</v>
      </c>
      <c r="V38" s="28">
        <v>1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</row>
    <row r="39" spans="1:28" ht="30" customHeight="1" x14ac:dyDescent="0.3">
      <c r="A39" s="10" t="s">
        <v>977</v>
      </c>
      <c r="B39" s="10" t="s">
        <v>220</v>
      </c>
      <c r="C39" s="10" t="s">
        <v>526</v>
      </c>
      <c r="D39" s="22">
        <v>0.02</v>
      </c>
      <c r="E39" s="27">
        <f>단가대비표!U37</f>
        <v>0</v>
      </c>
      <c r="F39" s="27">
        <f>ROUNDDOWN(D39*E39,2)</f>
        <v>0</v>
      </c>
      <c r="G39" s="27">
        <f>단가대비표!V37</f>
        <v>153671</v>
      </c>
      <c r="H39" s="27">
        <f>ROUNDDOWN(D39*G39,2)</f>
        <v>3073.42</v>
      </c>
      <c r="I39" s="27">
        <f>단가대비표!AE37</f>
        <v>0</v>
      </c>
      <c r="J39" s="27">
        <f>ROUNDDOWN(D39*I39,2)</f>
        <v>0</v>
      </c>
      <c r="K39" s="27">
        <f t="shared" si="4"/>
        <v>153671</v>
      </c>
      <c r="L39" s="27">
        <f t="shared" si="4"/>
        <v>3073.42</v>
      </c>
      <c r="M39" s="10" t="s">
        <v>122</v>
      </c>
      <c r="N39" s="25" t="s">
        <v>532</v>
      </c>
      <c r="O39" s="7" t="s">
        <v>43</v>
      </c>
      <c r="P39" s="7" t="s">
        <v>677</v>
      </c>
      <c r="Q39" s="7" t="s">
        <v>677</v>
      </c>
      <c r="R39" s="7" t="s">
        <v>184</v>
      </c>
      <c r="S39" s="28">
        <v>20</v>
      </c>
      <c r="T39" s="7" t="s">
        <v>677</v>
      </c>
      <c r="U39" s="28">
        <v>0</v>
      </c>
      <c r="V39" s="28">
        <v>1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</row>
    <row r="40" spans="1:28" ht="30" customHeight="1" x14ac:dyDescent="0.3">
      <c r="A40" s="10" t="s">
        <v>941</v>
      </c>
      <c r="B40" s="10" t="s">
        <v>80</v>
      </c>
      <c r="C40" s="10" t="s">
        <v>104</v>
      </c>
      <c r="D40" s="22">
        <v>1</v>
      </c>
      <c r="E40" s="27">
        <f>ROUNDDOWN(SUMIF(V38:V41, RIGHTB(O40, 1), H38:H41)*U40, 2)</f>
        <v>344.65</v>
      </c>
      <c r="F40" s="27">
        <f>ROUNDDOWN(D40*E40,2)</f>
        <v>344.65</v>
      </c>
      <c r="G40" s="27">
        <v>0</v>
      </c>
      <c r="H40" s="27">
        <f>ROUNDDOWN(D40*G40,2)</f>
        <v>0</v>
      </c>
      <c r="I40" s="27">
        <v>0</v>
      </c>
      <c r="J40" s="27">
        <f>ROUNDDOWN(D40*I40,2)</f>
        <v>0</v>
      </c>
      <c r="K40" s="27">
        <f t="shared" si="4"/>
        <v>344.65</v>
      </c>
      <c r="L40" s="27">
        <f t="shared" si="4"/>
        <v>344.65</v>
      </c>
      <c r="M40" s="10"/>
      <c r="N40" s="25" t="s">
        <v>532</v>
      </c>
      <c r="O40" s="7" t="s">
        <v>459</v>
      </c>
      <c r="P40" s="7" t="s">
        <v>677</v>
      </c>
      <c r="Q40" s="7" t="s">
        <v>677</v>
      </c>
      <c r="R40" s="7" t="s">
        <v>184</v>
      </c>
      <c r="S40" s="28">
        <v>30</v>
      </c>
      <c r="T40" s="7" t="s">
        <v>477</v>
      </c>
      <c r="U40" s="28">
        <v>0.02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</row>
    <row r="41" spans="1:28" ht="30" customHeight="1" x14ac:dyDescent="0.3">
      <c r="A41" s="10" t="s">
        <v>631</v>
      </c>
      <c r="B41" s="10" t="s">
        <v>116</v>
      </c>
      <c r="C41" s="10" t="s">
        <v>249</v>
      </c>
      <c r="D41" s="22">
        <v>0.09</v>
      </c>
      <c r="E41" s="27">
        <f>일위대가목록!E41</f>
        <v>25087</v>
      </c>
      <c r="F41" s="27">
        <f>ROUNDDOWN(D41*E41,2)</f>
        <v>2257.83</v>
      </c>
      <c r="G41" s="27">
        <f>일위대가목록!F41</f>
        <v>47967</v>
      </c>
      <c r="H41" s="27">
        <f>ROUNDDOWN(D41*G41,2)</f>
        <v>4317.03</v>
      </c>
      <c r="I41" s="27">
        <f>일위대가목록!G41</f>
        <v>22383</v>
      </c>
      <c r="J41" s="27">
        <f>ROUNDDOWN(D41*I41,2)</f>
        <v>2014.47</v>
      </c>
      <c r="K41" s="27">
        <f t="shared" si="4"/>
        <v>95437</v>
      </c>
      <c r="L41" s="27">
        <f t="shared" si="4"/>
        <v>8589.33</v>
      </c>
      <c r="M41" s="10" t="s">
        <v>868</v>
      </c>
      <c r="N41" s="25" t="s">
        <v>532</v>
      </c>
      <c r="O41" s="7" t="s">
        <v>569</v>
      </c>
      <c r="P41" s="7" t="s">
        <v>677</v>
      </c>
      <c r="Q41" s="7" t="s">
        <v>677</v>
      </c>
      <c r="R41" s="7" t="s">
        <v>184</v>
      </c>
      <c r="S41" s="28">
        <v>40</v>
      </c>
      <c r="T41" s="7" t="s">
        <v>677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</row>
    <row r="42" spans="1:28" ht="30" customHeight="1" x14ac:dyDescent="0.3">
      <c r="A42" s="10" t="s">
        <v>489</v>
      </c>
      <c r="B42" s="10" t="s">
        <v>677</v>
      </c>
      <c r="C42" s="10" t="s">
        <v>677</v>
      </c>
      <c r="D42" s="10" t="s">
        <v>677</v>
      </c>
      <c r="E42" s="27">
        <v>0</v>
      </c>
      <c r="F42" s="27">
        <f>ROUNDDOWN(SUMIF(R38:R41, " ", F38:F41),0)</f>
        <v>2602</v>
      </c>
      <c r="G42" s="27">
        <v>0</v>
      </c>
      <c r="H42" s="27">
        <f>ROUNDDOWN(SUMIF(R38:R41, " ", H38:H41),0)</f>
        <v>21549</v>
      </c>
      <c r="I42" s="27">
        <v>0</v>
      </c>
      <c r="J42" s="27">
        <f>ROUNDDOWN(SUMIF(R38:R41, " ", J38:J41),0)</f>
        <v>2014</v>
      </c>
      <c r="K42" s="30" t="s">
        <v>677</v>
      </c>
      <c r="L42" s="27">
        <f>F42+H42+J42</f>
        <v>26165</v>
      </c>
      <c r="M42" s="10"/>
      <c r="N42" s="9" t="s">
        <v>606</v>
      </c>
      <c r="O42" s="26" t="s">
        <v>606</v>
      </c>
    </row>
    <row r="43" spans="1:28" ht="30" customHeight="1" x14ac:dyDescent="0.3">
      <c r="A43" s="10" t="s">
        <v>677</v>
      </c>
      <c r="B43" s="10" t="s">
        <v>677</v>
      </c>
      <c r="C43" s="10" t="s">
        <v>677</v>
      </c>
      <c r="D43" s="10" t="s">
        <v>677</v>
      </c>
      <c r="E43" s="10" t="s">
        <v>677</v>
      </c>
      <c r="F43" s="10" t="s">
        <v>677</v>
      </c>
      <c r="G43" s="10" t="s">
        <v>677</v>
      </c>
      <c r="H43" s="10" t="s">
        <v>677</v>
      </c>
      <c r="I43" s="10" t="s">
        <v>677</v>
      </c>
      <c r="J43" s="10" t="s">
        <v>677</v>
      </c>
      <c r="K43" s="10" t="s">
        <v>677</v>
      </c>
      <c r="L43" s="10" t="s">
        <v>677</v>
      </c>
      <c r="M43" s="10" t="s">
        <v>677</v>
      </c>
    </row>
    <row r="44" spans="1:28" ht="30" customHeight="1" x14ac:dyDescent="0.3">
      <c r="A44" s="96" t="s">
        <v>699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8"/>
      <c r="N44" s="25" t="s">
        <v>920</v>
      </c>
    </row>
    <row r="45" spans="1:28" ht="30" customHeight="1" x14ac:dyDescent="0.3">
      <c r="A45" s="10" t="s">
        <v>577</v>
      </c>
      <c r="B45" s="10" t="s">
        <v>482</v>
      </c>
      <c r="C45" s="10" t="s">
        <v>801</v>
      </c>
      <c r="D45" s="22">
        <v>1.1599999999999999</v>
      </c>
      <c r="E45" s="27">
        <f>단가대비표!U20</f>
        <v>4535</v>
      </c>
      <c r="F45" s="27">
        <f>ROUNDDOWN(D45*E45,2)</f>
        <v>5260.6</v>
      </c>
      <c r="G45" s="27">
        <f>단가대비표!V20</f>
        <v>0</v>
      </c>
      <c r="H45" s="27">
        <f>ROUNDDOWN(D45*G45,2)</f>
        <v>0</v>
      </c>
      <c r="I45" s="27">
        <f>단가대비표!AE20</f>
        <v>0</v>
      </c>
      <c r="J45" s="27">
        <f>ROUNDDOWN(D45*I45,2)</f>
        <v>0</v>
      </c>
      <c r="K45" s="27">
        <f t="shared" ref="K45:L47" si="5">ROUNDDOWN(E45+G45+I45,2)</f>
        <v>4535</v>
      </c>
      <c r="L45" s="27">
        <f t="shared" si="5"/>
        <v>5260.6</v>
      </c>
      <c r="M45" s="10" t="s">
        <v>722</v>
      </c>
      <c r="N45" s="25" t="s">
        <v>920</v>
      </c>
      <c r="O45" s="7" t="s">
        <v>898</v>
      </c>
      <c r="P45" s="7" t="s">
        <v>677</v>
      </c>
      <c r="Q45" s="7" t="s">
        <v>677</v>
      </c>
      <c r="R45" s="7" t="s">
        <v>184</v>
      </c>
      <c r="S45" s="28">
        <v>10</v>
      </c>
      <c r="T45" s="7" t="s">
        <v>677</v>
      </c>
      <c r="U45" s="28">
        <v>0</v>
      </c>
      <c r="V45" s="28">
        <v>1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</row>
    <row r="46" spans="1:28" ht="30" customHeight="1" x14ac:dyDescent="0.3">
      <c r="A46" s="10" t="s">
        <v>370</v>
      </c>
      <c r="B46" s="10" t="s">
        <v>762</v>
      </c>
      <c r="C46" s="10" t="s">
        <v>104</v>
      </c>
      <c r="D46" s="22">
        <v>1</v>
      </c>
      <c r="E46" s="27">
        <f>ROUNDDOWN(SUMIF(V45:V47, RIGHTB(O46, 1), F45:F47)*U46, 2)</f>
        <v>157.81</v>
      </c>
      <c r="F46" s="27">
        <f>ROUNDDOWN(D46*E46,2)</f>
        <v>157.81</v>
      </c>
      <c r="G46" s="27">
        <v>0</v>
      </c>
      <c r="H46" s="27">
        <f>ROUNDDOWN(D46*G46,2)</f>
        <v>0</v>
      </c>
      <c r="I46" s="27">
        <v>0</v>
      </c>
      <c r="J46" s="27">
        <f>ROUNDDOWN(D46*I46,2)</f>
        <v>0</v>
      </c>
      <c r="K46" s="27">
        <f t="shared" si="5"/>
        <v>157.81</v>
      </c>
      <c r="L46" s="27">
        <f t="shared" si="5"/>
        <v>157.81</v>
      </c>
      <c r="M46" s="10" t="s">
        <v>677</v>
      </c>
      <c r="N46" s="25" t="s">
        <v>920</v>
      </c>
      <c r="O46" s="7" t="s">
        <v>459</v>
      </c>
      <c r="P46" s="7" t="s">
        <v>677</v>
      </c>
      <c r="Q46" s="7" t="s">
        <v>677</v>
      </c>
      <c r="R46" s="7" t="s">
        <v>184</v>
      </c>
      <c r="S46" s="28">
        <v>20</v>
      </c>
      <c r="T46" s="7" t="s">
        <v>1043</v>
      </c>
      <c r="U46" s="28">
        <v>0.03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</row>
    <row r="47" spans="1:28" ht="30" customHeight="1" x14ac:dyDescent="0.3">
      <c r="A47" s="10" t="s">
        <v>728</v>
      </c>
      <c r="B47" s="10" t="s">
        <v>978</v>
      </c>
      <c r="C47" s="10" t="s">
        <v>801</v>
      </c>
      <c r="D47" s="22">
        <v>1</v>
      </c>
      <c r="E47" s="27">
        <f>일위대가목록!E49</f>
        <v>0</v>
      </c>
      <c r="F47" s="27">
        <f>ROUNDDOWN(D47*E47,2)</f>
        <v>0</v>
      </c>
      <c r="G47" s="27">
        <f>일위대가목록!F49</f>
        <v>1154</v>
      </c>
      <c r="H47" s="27">
        <f>ROUNDDOWN(D47*G47,2)</f>
        <v>1154</v>
      </c>
      <c r="I47" s="27">
        <f>일위대가목록!G49</f>
        <v>0</v>
      </c>
      <c r="J47" s="27">
        <f>ROUNDDOWN(D47*I47,2)</f>
        <v>0</v>
      </c>
      <c r="K47" s="27">
        <f t="shared" si="5"/>
        <v>1154</v>
      </c>
      <c r="L47" s="27">
        <f t="shared" si="5"/>
        <v>1154</v>
      </c>
      <c r="M47" s="10" t="s">
        <v>956</v>
      </c>
      <c r="N47" s="25" t="s">
        <v>920</v>
      </c>
      <c r="O47" s="7" t="s">
        <v>141</v>
      </c>
      <c r="P47" s="7" t="s">
        <v>677</v>
      </c>
      <c r="Q47" s="7" t="s">
        <v>677</v>
      </c>
      <c r="R47" s="7" t="s">
        <v>184</v>
      </c>
      <c r="S47" s="28">
        <v>30</v>
      </c>
      <c r="T47" s="7" t="s">
        <v>677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</row>
    <row r="48" spans="1:28" ht="30" customHeight="1" x14ac:dyDescent="0.3">
      <c r="A48" s="10" t="s">
        <v>489</v>
      </c>
      <c r="B48" s="10" t="s">
        <v>677</v>
      </c>
      <c r="C48" s="10" t="s">
        <v>677</v>
      </c>
      <c r="D48" s="10" t="s">
        <v>677</v>
      </c>
      <c r="E48" s="27">
        <v>0</v>
      </c>
      <c r="F48" s="27">
        <f>ROUNDDOWN(SUMIF(R45:R47, " ", F45:F47),0)</f>
        <v>5418</v>
      </c>
      <c r="G48" s="27">
        <v>0</v>
      </c>
      <c r="H48" s="27">
        <f>ROUNDDOWN(SUMIF(R45:R47, " ", H45:H47),0)</f>
        <v>1154</v>
      </c>
      <c r="I48" s="27">
        <v>0</v>
      </c>
      <c r="J48" s="27">
        <f>ROUNDDOWN(SUMIF(R45:R47, " ", J45:J47),0)</f>
        <v>0</v>
      </c>
      <c r="K48" s="30" t="s">
        <v>677</v>
      </c>
      <c r="L48" s="27">
        <f>F48+H48+J48</f>
        <v>6572</v>
      </c>
      <c r="M48" s="10"/>
      <c r="N48" s="9" t="s">
        <v>606</v>
      </c>
      <c r="O48" s="26" t="s">
        <v>606</v>
      </c>
    </row>
    <row r="49" spans="1:28" ht="30" customHeight="1" x14ac:dyDescent="0.3">
      <c r="A49" s="10" t="s">
        <v>677</v>
      </c>
      <c r="B49" s="10" t="s">
        <v>677</v>
      </c>
      <c r="C49" s="10" t="s">
        <v>677</v>
      </c>
      <c r="D49" s="10" t="s">
        <v>677</v>
      </c>
      <c r="E49" s="10" t="s">
        <v>677</v>
      </c>
      <c r="F49" s="10" t="s">
        <v>677</v>
      </c>
      <c r="G49" s="10" t="s">
        <v>677</v>
      </c>
      <c r="H49" s="10" t="s">
        <v>677</v>
      </c>
      <c r="I49" s="10" t="s">
        <v>677</v>
      </c>
      <c r="J49" s="10" t="s">
        <v>677</v>
      </c>
      <c r="K49" s="10" t="s">
        <v>677</v>
      </c>
      <c r="L49" s="10" t="s">
        <v>677</v>
      </c>
      <c r="M49" s="10" t="s">
        <v>677</v>
      </c>
    </row>
    <row r="50" spans="1:28" ht="30" customHeight="1" x14ac:dyDescent="0.3">
      <c r="A50" s="96" t="s">
        <v>1046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8"/>
      <c r="N50" s="25" t="s">
        <v>783</v>
      </c>
    </row>
    <row r="51" spans="1:28" ht="30" customHeight="1" x14ac:dyDescent="0.3">
      <c r="A51" s="10" t="s">
        <v>631</v>
      </c>
      <c r="B51" s="10" t="s">
        <v>876</v>
      </c>
      <c r="C51" s="10" t="s">
        <v>249</v>
      </c>
      <c r="D51" s="22">
        <v>6.3E-2</v>
      </c>
      <c r="E51" s="27">
        <f>일위대가목록!E39</f>
        <v>10724</v>
      </c>
      <c r="F51" s="27">
        <f>ROUNDDOWN(D51*E51,2)</f>
        <v>675.61</v>
      </c>
      <c r="G51" s="27">
        <f>일위대가목록!F39</f>
        <v>47967</v>
      </c>
      <c r="H51" s="27">
        <f>ROUNDDOWN(D51*G51,2)</f>
        <v>3021.92</v>
      </c>
      <c r="I51" s="27">
        <f>일위대가목록!G39</f>
        <v>12688</v>
      </c>
      <c r="J51" s="27">
        <f>ROUNDDOWN(D51*I51,2)</f>
        <v>799.34</v>
      </c>
      <c r="K51" s="27">
        <f>ROUNDDOWN(E51+G51+I51,2)</f>
        <v>71379</v>
      </c>
      <c r="L51" s="27">
        <f>ROUNDDOWN(F51+H51+J51,2)</f>
        <v>4496.87</v>
      </c>
      <c r="M51" s="10" t="s">
        <v>55</v>
      </c>
      <c r="N51" s="25" t="s">
        <v>783</v>
      </c>
      <c r="O51" s="7" t="s">
        <v>200</v>
      </c>
      <c r="P51" s="7" t="s">
        <v>677</v>
      </c>
      <c r="Q51" s="7" t="s">
        <v>677</v>
      </c>
      <c r="R51" s="7" t="s">
        <v>184</v>
      </c>
      <c r="S51" s="28">
        <v>10</v>
      </c>
      <c r="T51" s="7" t="s">
        <v>677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</row>
    <row r="52" spans="1:28" ht="30" customHeight="1" x14ac:dyDescent="0.3">
      <c r="A52" s="10" t="s">
        <v>172</v>
      </c>
      <c r="B52" s="10" t="s">
        <v>581</v>
      </c>
      <c r="C52" s="10" t="s">
        <v>249</v>
      </c>
      <c r="D52" s="22">
        <v>7.3999999999999996E-2</v>
      </c>
      <c r="E52" s="27">
        <f>일위대가목록!E44</f>
        <v>4406</v>
      </c>
      <c r="F52" s="27">
        <f>ROUNDDOWN(D52*E52,2)</f>
        <v>326.04000000000002</v>
      </c>
      <c r="G52" s="27">
        <f>일위대가목록!F44</f>
        <v>31597</v>
      </c>
      <c r="H52" s="27">
        <f>ROUNDDOWN(D52*G52,2)</f>
        <v>2338.17</v>
      </c>
      <c r="I52" s="27">
        <f>일위대가목록!G44</f>
        <v>1767</v>
      </c>
      <c r="J52" s="27">
        <f>ROUNDDOWN(D52*I52,2)</f>
        <v>130.75</v>
      </c>
      <c r="K52" s="27">
        <f>ROUNDDOWN(E52+G52+I52,2)</f>
        <v>37770</v>
      </c>
      <c r="L52" s="27">
        <f>ROUNDDOWN(F52+H52+J52,2)</f>
        <v>2794.96</v>
      </c>
      <c r="M52" s="10" t="s">
        <v>1030</v>
      </c>
      <c r="N52" s="25" t="s">
        <v>783</v>
      </c>
      <c r="O52" s="7" t="s">
        <v>136</v>
      </c>
      <c r="P52" s="7" t="s">
        <v>677</v>
      </c>
      <c r="Q52" s="7" t="s">
        <v>677</v>
      </c>
      <c r="R52" s="7" t="s">
        <v>184</v>
      </c>
      <c r="S52" s="28">
        <v>20</v>
      </c>
      <c r="T52" s="7" t="s">
        <v>677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</row>
    <row r="53" spans="1:28" ht="30" customHeight="1" x14ac:dyDescent="0.3">
      <c r="A53" s="10" t="s">
        <v>489</v>
      </c>
      <c r="B53" s="10" t="s">
        <v>677</v>
      </c>
      <c r="C53" s="10" t="s">
        <v>677</v>
      </c>
      <c r="D53" s="10" t="s">
        <v>677</v>
      </c>
      <c r="E53" s="27">
        <v>0</v>
      </c>
      <c r="F53" s="27">
        <f>ROUNDDOWN(SUMIF(R51:R52, " ", F51:F52),0)</f>
        <v>1001</v>
      </c>
      <c r="G53" s="27">
        <v>0</v>
      </c>
      <c r="H53" s="27">
        <f>ROUNDDOWN(SUMIF(R51:R52, " ", H51:H52),0)</f>
        <v>5360</v>
      </c>
      <c r="I53" s="27">
        <v>0</v>
      </c>
      <c r="J53" s="27">
        <f>ROUNDDOWN(SUMIF(R51:R52, " ", J51:J52),0)</f>
        <v>930</v>
      </c>
      <c r="K53" s="30" t="s">
        <v>677</v>
      </c>
      <c r="L53" s="27">
        <f>F53+H53+J53</f>
        <v>7291</v>
      </c>
      <c r="M53" s="10"/>
      <c r="N53" s="9" t="s">
        <v>606</v>
      </c>
      <c r="O53" s="26" t="s">
        <v>606</v>
      </c>
    </row>
    <row r="54" spans="1:28" ht="30" customHeight="1" x14ac:dyDescent="0.3">
      <c r="A54" s="10" t="s">
        <v>677</v>
      </c>
      <c r="B54" s="10" t="s">
        <v>677</v>
      </c>
      <c r="C54" s="10" t="s">
        <v>677</v>
      </c>
      <c r="D54" s="10" t="s">
        <v>677</v>
      </c>
      <c r="E54" s="10" t="s">
        <v>677</v>
      </c>
      <c r="F54" s="10" t="s">
        <v>677</v>
      </c>
      <c r="G54" s="10" t="s">
        <v>677</v>
      </c>
      <c r="H54" s="10" t="s">
        <v>677</v>
      </c>
      <c r="I54" s="10" t="s">
        <v>677</v>
      </c>
      <c r="J54" s="10" t="s">
        <v>677</v>
      </c>
      <c r="K54" s="10" t="s">
        <v>677</v>
      </c>
      <c r="L54" s="10" t="s">
        <v>677</v>
      </c>
      <c r="M54" s="10" t="s">
        <v>677</v>
      </c>
    </row>
    <row r="55" spans="1:28" ht="30" customHeight="1" x14ac:dyDescent="0.3">
      <c r="A55" s="96" t="s">
        <v>1127</v>
      </c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8"/>
      <c r="N55" s="25" t="s">
        <v>894</v>
      </c>
    </row>
    <row r="56" spans="1:28" ht="30" customHeight="1" x14ac:dyDescent="0.3">
      <c r="A56" s="10" t="s">
        <v>373</v>
      </c>
      <c r="B56" s="10" t="s">
        <v>986</v>
      </c>
      <c r="C56" s="10" t="s">
        <v>71</v>
      </c>
      <c r="D56" s="22">
        <v>0.78300000000000003</v>
      </c>
      <c r="E56" s="27">
        <v>425</v>
      </c>
      <c r="F56" s="27">
        <f t="shared" ref="F56:F61" si="6">ROUNDDOWN(D56*E56,2)</f>
        <v>332.77</v>
      </c>
      <c r="G56" s="27">
        <v>813</v>
      </c>
      <c r="H56" s="27">
        <f t="shared" ref="H56:H61" si="7">ROUNDDOWN(D56*G56,2)</f>
        <v>636.57000000000005</v>
      </c>
      <c r="I56" s="27">
        <v>379</v>
      </c>
      <c r="J56" s="27">
        <f t="shared" ref="J56:J61" si="8">ROUNDDOWN(D56*I56,2)</f>
        <v>296.75</v>
      </c>
      <c r="K56" s="27">
        <f t="shared" ref="K56:L61" si="9">ROUNDDOWN(E56+G56+I56,2)</f>
        <v>1617</v>
      </c>
      <c r="L56" s="27">
        <f t="shared" si="9"/>
        <v>1266.0899999999999</v>
      </c>
      <c r="M56" s="10" t="s">
        <v>356</v>
      </c>
      <c r="N56" s="25" t="s">
        <v>894</v>
      </c>
      <c r="O56" s="7" t="s">
        <v>570</v>
      </c>
      <c r="P56" s="7" t="s">
        <v>677</v>
      </c>
      <c r="Q56" s="7" t="s">
        <v>677</v>
      </c>
      <c r="R56" s="7" t="s">
        <v>184</v>
      </c>
      <c r="S56" s="28">
        <v>10</v>
      </c>
      <c r="T56" s="7" t="s">
        <v>677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</row>
    <row r="57" spans="1:28" ht="30" customHeight="1" x14ac:dyDescent="0.3">
      <c r="A57" s="10" t="s">
        <v>685</v>
      </c>
      <c r="B57" s="10" t="s">
        <v>671</v>
      </c>
      <c r="C57" s="10" t="s">
        <v>71</v>
      </c>
      <c r="D57" s="22">
        <v>0.71299999999999997</v>
      </c>
      <c r="E57" s="27">
        <v>607</v>
      </c>
      <c r="F57" s="27">
        <f t="shared" si="6"/>
        <v>432.79</v>
      </c>
      <c r="G57" s="27">
        <v>7812</v>
      </c>
      <c r="H57" s="27">
        <f t="shared" si="7"/>
        <v>5569.95</v>
      </c>
      <c r="I57" s="27">
        <v>384</v>
      </c>
      <c r="J57" s="27">
        <f t="shared" si="8"/>
        <v>273.79000000000002</v>
      </c>
      <c r="K57" s="27">
        <f t="shared" si="9"/>
        <v>8803</v>
      </c>
      <c r="L57" s="27">
        <f t="shared" si="9"/>
        <v>6276.53</v>
      </c>
      <c r="M57" s="10" t="s">
        <v>170</v>
      </c>
      <c r="N57" s="25" t="s">
        <v>894</v>
      </c>
      <c r="O57" s="7" t="s">
        <v>72</v>
      </c>
      <c r="P57" s="7" t="s">
        <v>677</v>
      </c>
      <c r="Q57" s="7" t="s">
        <v>677</v>
      </c>
      <c r="R57" s="7" t="s">
        <v>184</v>
      </c>
      <c r="S57" s="28">
        <v>20</v>
      </c>
      <c r="T57" s="7" t="s">
        <v>677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</row>
    <row r="58" spans="1:28" ht="30" customHeight="1" x14ac:dyDescent="0.3">
      <c r="A58" s="10" t="s">
        <v>73</v>
      </c>
      <c r="B58" s="10" t="s">
        <v>802</v>
      </c>
      <c r="C58" s="10" t="s">
        <v>71</v>
      </c>
      <c r="D58" s="22">
        <v>7.0000000000000007E-2</v>
      </c>
      <c r="E58" s="27">
        <v>3873</v>
      </c>
      <c r="F58" s="27">
        <f t="shared" si="6"/>
        <v>271.11</v>
      </c>
      <c r="G58" s="27">
        <v>4776</v>
      </c>
      <c r="H58" s="27">
        <f t="shared" si="7"/>
        <v>334.32</v>
      </c>
      <c r="I58" s="27">
        <v>1928</v>
      </c>
      <c r="J58" s="27">
        <f t="shared" si="8"/>
        <v>134.96</v>
      </c>
      <c r="K58" s="27">
        <f t="shared" si="9"/>
        <v>10577</v>
      </c>
      <c r="L58" s="27">
        <f t="shared" si="9"/>
        <v>740.39</v>
      </c>
      <c r="M58" s="10" t="s">
        <v>694</v>
      </c>
      <c r="N58" s="25" t="s">
        <v>894</v>
      </c>
      <c r="O58" s="7" t="s">
        <v>793</v>
      </c>
      <c r="P58" s="7" t="s">
        <v>677</v>
      </c>
      <c r="Q58" s="7" t="s">
        <v>677</v>
      </c>
      <c r="R58" s="7" t="s">
        <v>184</v>
      </c>
      <c r="S58" s="28">
        <v>30</v>
      </c>
      <c r="T58" s="7" t="s">
        <v>677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</row>
    <row r="59" spans="1:28" ht="30" customHeight="1" x14ac:dyDescent="0.3">
      <c r="A59" s="10" t="s">
        <v>1123</v>
      </c>
      <c r="B59" s="33" t="s">
        <v>1124</v>
      </c>
      <c r="C59" s="10" t="s">
        <v>933</v>
      </c>
      <c r="D59" s="22">
        <v>1</v>
      </c>
      <c r="E59" s="27">
        <f>단가대비표!U35</f>
        <v>3610</v>
      </c>
      <c r="F59" s="27">
        <f t="shared" si="6"/>
        <v>3610</v>
      </c>
      <c r="G59" s="27">
        <f>단가대비표!V35</f>
        <v>0</v>
      </c>
      <c r="H59" s="27">
        <f t="shared" si="7"/>
        <v>0</v>
      </c>
      <c r="I59" s="27">
        <f>단가대비표!AE35</f>
        <v>0</v>
      </c>
      <c r="J59" s="27">
        <f t="shared" si="8"/>
        <v>0</v>
      </c>
      <c r="K59" s="27">
        <f t="shared" si="9"/>
        <v>3610</v>
      </c>
      <c r="L59" s="27">
        <f t="shared" si="9"/>
        <v>3610</v>
      </c>
      <c r="M59" s="10" t="s">
        <v>984</v>
      </c>
      <c r="N59" s="25" t="s">
        <v>894</v>
      </c>
      <c r="O59" s="7" t="s">
        <v>462</v>
      </c>
      <c r="P59" s="7" t="s">
        <v>677</v>
      </c>
      <c r="Q59" s="7" t="s">
        <v>677</v>
      </c>
      <c r="R59" s="7" t="s">
        <v>184</v>
      </c>
      <c r="S59" s="28">
        <v>40</v>
      </c>
      <c r="T59" s="7" t="s">
        <v>677</v>
      </c>
      <c r="U59" s="28">
        <v>0</v>
      </c>
      <c r="V59" s="28">
        <v>1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</row>
    <row r="60" spans="1:28" ht="30" customHeight="1" x14ac:dyDescent="0.3">
      <c r="A60" s="10" t="s">
        <v>634</v>
      </c>
      <c r="B60" s="10" t="s">
        <v>472</v>
      </c>
      <c r="C60" s="10" t="s">
        <v>104</v>
      </c>
      <c r="D60" s="22">
        <v>1</v>
      </c>
      <c r="E60" s="27">
        <f>ROUNDDOWN(SUMIF(V56:V61, RIGHTB(O60, 1), F56:F61)*U60, 2)</f>
        <v>108.3</v>
      </c>
      <c r="F60" s="27">
        <f t="shared" si="6"/>
        <v>108.3</v>
      </c>
      <c r="G60" s="27">
        <v>0</v>
      </c>
      <c r="H60" s="27">
        <f t="shared" si="7"/>
        <v>0</v>
      </c>
      <c r="I60" s="27">
        <v>0</v>
      </c>
      <c r="J60" s="27">
        <f t="shared" si="8"/>
        <v>0</v>
      </c>
      <c r="K60" s="27">
        <f t="shared" si="9"/>
        <v>108.3</v>
      </c>
      <c r="L60" s="27">
        <f t="shared" si="9"/>
        <v>108.3</v>
      </c>
      <c r="M60" s="10" t="s">
        <v>677</v>
      </c>
      <c r="N60" s="25" t="s">
        <v>894</v>
      </c>
      <c r="O60" s="7" t="s">
        <v>459</v>
      </c>
      <c r="P60" s="7" t="s">
        <v>677</v>
      </c>
      <c r="Q60" s="7" t="s">
        <v>677</v>
      </c>
      <c r="R60" s="7" t="s">
        <v>184</v>
      </c>
      <c r="S60" s="28">
        <v>50</v>
      </c>
      <c r="T60" s="7" t="s">
        <v>774</v>
      </c>
      <c r="U60" s="28">
        <v>0.03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</row>
    <row r="61" spans="1:28" ht="30" customHeight="1" x14ac:dyDescent="0.3">
      <c r="A61" s="10" t="s">
        <v>1005</v>
      </c>
      <c r="B61" s="10" t="s">
        <v>946</v>
      </c>
      <c r="C61" s="10" t="s">
        <v>242</v>
      </c>
      <c r="D61" s="22">
        <v>1</v>
      </c>
      <c r="E61" s="27">
        <f>일위대가목록!E56</f>
        <v>371</v>
      </c>
      <c r="F61" s="27">
        <f t="shared" si="6"/>
        <v>371</v>
      </c>
      <c r="G61" s="27">
        <f>일위대가목록!F56</f>
        <v>18553</v>
      </c>
      <c r="H61" s="27">
        <f t="shared" si="7"/>
        <v>18553</v>
      </c>
      <c r="I61" s="27">
        <f>일위대가목록!G56</f>
        <v>0</v>
      </c>
      <c r="J61" s="27">
        <f t="shared" si="8"/>
        <v>0</v>
      </c>
      <c r="K61" s="27">
        <f t="shared" si="9"/>
        <v>18924</v>
      </c>
      <c r="L61" s="27">
        <f t="shared" si="9"/>
        <v>18924</v>
      </c>
      <c r="M61" s="10" t="s">
        <v>275</v>
      </c>
      <c r="N61" s="25" t="s">
        <v>894</v>
      </c>
      <c r="O61" s="7" t="s">
        <v>161</v>
      </c>
      <c r="P61" s="7" t="s">
        <v>677</v>
      </c>
      <c r="Q61" s="7" t="s">
        <v>677</v>
      </c>
      <c r="R61" s="7" t="s">
        <v>184</v>
      </c>
      <c r="S61" s="28">
        <v>60</v>
      </c>
      <c r="T61" s="7" t="s">
        <v>791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</row>
    <row r="62" spans="1:28" ht="30" customHeight="1" x14ac:dyDescent="0.3">
      <c r="A62" s="10" t="s">
        <v>489</v>
      </c>
      <c r="B62" s="10" t="s">
        <v>677</v>
      </c>
      <c r="C62" s="10" t="s">
        <v>677</v>
      </c>
      <c r="D62" s="10" t="s">
        <v>677</v>
      </c>
      <c r="E62" s="27">
        <v>0</v>
      </c>
      <c r="F62" s="27">
        <f>ROUNDDOWN(SUMIF(R56:R61, " ", F56:F61),0)</f>
        <v>5125</v>
      </c>
      <c r="G62" s="27">
        <v>0</v>
      </c>
      <c r="H62" s="27">
        <f>ROUNDDOWN(SUMIF(R56:R61, " ", H56:H61),0)</f>
        <v>25093</v>
      </c>
      <c r="I62" s="27">
        <v>0</v>
      </c>
      <c r="J62" s="27">
        <f>ROUNDDOWN(SUMIF(R56:R61, " ", J56:J61),0)</f>
        <v>705</v>
      </c>
      <c r="K62" s="30" t="s">
        <v>677</v>
      </c>
      <c r="L62" s="27">
        <f>F62+H62+J62</f>
        <v>30923</v>
      </c>
      <c r="M62" s="10"/>
      <c r="N62" s="9" t="s">
        <v>606</v>
      </c>
      <c r="O62" s="26" t="s">
        <v>606</v>
      </c>
    </row>
    <row r="63" spans="1:28" ht="30" customHeight="1" x14ac:dyDescent="0.3">
      <c r="A63" s="10" t="s">
        <v>677</v>
      </c>
      <c r="B63" s="10" t="s">
        <v>677</v>
      </c>
      <c r="C63" s="10" t="s">
        <v>677</v>
      </c>
      <c r="D63" s="10" t="s">
        <v>677</v>
      </c>
      <c r="E63" s="10" t="s">
        <v>677</v>
      </c>
      <c r="F63" s="10" t="s">
        <v>677</v>
      </c>
      <c r="G63" s="10" t="s">
        <v>677</v>
      </c>
      <c r="H63" s="10" t="s">
        <v>677</v>
      </c>
      <c r="I63" s="10" t="s">
        <v>677</v>
      </c>
      <c r="J63" s="10" t="s">
        <v>677</v>
      </c>
      <c r="K63" s="10" t="s">
        <v>677</v>
      </c>
      <c r="L63" s="10" t="s">
        <v>677</v>
      </c>
      <c r="M63" s="10" t="s">
        <v>677</v>
      </c>
    </row>
    <row r="64" spans="1:28" ht="30" customHeight="1" x14ac:dyDescent="0.3">
      <c r="A64" s="96" t="s">
        <v>1154</v>
      </c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8"/>
      <c r="N64" s="25" t="s">
        <v>895</v>
      </c>
    </row>
    <row r="65" spans="1:28" ht="30" customHeight="1" x14ac:dyDescent="0.3">
      <c r="A65" s="10" t="s">
        <v>1142</v>
      </c>
      <c r="B65" s="10" t="s">
        <v>1159</v>
      </c>
      <c r="C65" s="10" t="s">
        <v>1160</v>
      </c>
      <c r="D65" s="22">
        <v>4.7000000000000002E-3</v>
      </c>
      <c r="E65" s="27">
        <f>단가대비표!U15</f>
        <v>1856280</v>
      </c>
      <c r="F65" s="27">
        <f>ROUNDDOWN(D65*E65,2)</f>
        <v>8724.51</v>
      </c>
      <c r="G65" s="27">
        <f>단가대비표!V15</f>
        <v>0</v>
      </c>
      <c r="H65" s="27">
        <f>ROUNDDOWN(D65*G65,2)</f>
        <v>0</v>
      </c>
      <c r="I65" s="27">
        <f>단가대비표!AE15</f>
        <v>0</v>
      </c>
      <c r="J65" s="27">
        <f>ROUNDDOWN(D65*I65,2)</f>
        <v>0</v>
      </c>
      <c r="K65" s="27">
        <f t="shared" ref="K65:L68" si="10">ROUNDDOWN(E65+G65+I65,2)</f>
        <v>1856280</v>
      </c>
      <c r="L65" s="27">
        <f t="shared" si="10"/>
        <v>8724.51</v>
      </c>
      <c r="M65" s="10" t="s">
        <v>1161</v>
      </c>
      <c r="N65" s="25" t="s">
        <v>895</v>
      </c>
      <c r="O65" s="7" t="s">
        <v>720</v>
      </c>
      <c r="P65" s="7" t="s">
        <v>677</v>
      </c>
      <c r="Q65" s="7" t="s">
        <v>677</v>
      </c>
      <c r="R65" s="7" t="s">
        <v>184</v>
      </c>
      <c r="S65" s="28">
        <v>10</v>
      </c>
      <c r="T65" s="7" t="s">
        <v>677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</row>
    <row r="66" spans="1:28" ht="30" customHeight="1" x14ac:dyDescent="0.3">
      <c r="A66" s="10" t="s">
        <v>1162</v>
      </c>
      <c r="B66" s="10"/>
      <c r="C66" s="10" t="s">
        <v>1160</v>
      </c>
      <c r="D66" s="22">
        <v>4.7000000000000002E-3</v>
      </c>
      <c r="E66" s="27">
        <f>단가대비표!U29</f>
        <v>210000</v>
      </c>
      <c r="F66" s="27">
        <f>ROUNDDOWN(D66*E66,2)</f>
        <v>987</v>
      </c>
      <c r="G66" s="27">
        <f>단가대비표!V29</f>
        <v>0</v>
      </c>
      <c r="H66" s="27">
        <f>ROUNDDOWN(D66*G66,2)</f>
        <v>0</v>
      </c>
      <c r="I66" s="27">
        <f>단가대비표!AE29</f>
        <v>0</v>
      </c>
      <c r="J66" s="27">
        <f>ROUNDDOWN(D66*I66,2)</f>
        <v>0</v>
      </c>
      <c r="K66" s="27">
        <f t="shared" ref="K66" si="11">ROUNDDOWN(E66+G66+I66,2)</f>
        <v>210000</v>
      </c>
      <c r="L66" s="27">
        <f t="shared" ref="L66" si="12">ROUNDDOWN(F66+H66+J66,2)</f>
        <v>987</v>
      </c>
      <c r="M66" s="10" t="s">
        <v>1164</v>
      </c>
      <c r="N66" s="25"/>
      <c r="O66" s="7"/>
      <c r="P66" s="7"/>
      <c r="Q66" s="7"/>
      <c r="R66" s="7"/>
      <c r="S66" s="28"/>
      <c r="T66" s="7"/>
      <c r="U66" s="28"/>
      <c r="V66" s="28"/>
      <c r="W66" s="28"/>
      <c r="X66" s="28"/>
      <c r="Y66" s="28"/>
      <c r="Z66" s="28"/>
      <c r="AA66" s="28"/>
      <c r="AB66" s="28"/>
    </row>
    <row r="67" spans="1:28" ht="30" customHeight="1" x14ac:dyDescent="0.3">
      <c r="A67" s="10" t="s">
        <v>1165</v>
      </c>
      <c r="B67" s="10" t="s">
        <v>1166</v>
      </c>
      <c r="C67" s="10" t="s">
        <v>1167</v>
      </c>
      <c r="D67" s="22">
        <v>2.2000000000000002</v>
      </c>
      <c r="E67" s="27">
        <f>단가대비표!U30</f>
        <v>2120</v>
      </c>
      <c r="F67" s="27">
        <f>ROUNDDOWN(D67*E67,2)</f>
        <v>4664</v>
      </c>
      <c r="G67" s="27">
        <f>단가대비표!V30</f>
        <v>0</v>
      </c>
      <c r="H67" s="27">
        <f>ROUNDDOWN(D67*G67,2)</f>
        <v>0</v>
      </c>
      <c r="I67" s="27">
        <f>단가대비표!AE30</f>
        <v>0</v>
      </c>
      <c r="J67" s="27">
        <f>ROUNDDOWN(D67*I67,2)</f>
        <v>0</v>
      </c>
      <c r="K67" s="27">
        <f t="shared" ref="K67" si="13">ROUNDDOWN(E67+G67+I67,2)</f>
        <v>2120</v>
      </c>
      <c r="L67" s="27">
        <f t="shared" ref="L67" si="14">ROUNDDOWN(F67+H67+J67,2)</f>
        <v>4664</v>
      </c>
      <c r="M67" s="10" t="s">
        <v>1169</v>
      </c>
      <c r="N67" s="25" t="s">
        <v>895</v>
      </c>
      <c r="O67" s="7" t="s">
        <v>271</v>
      </c>
      <c r="P67" s="7" t="s">
        <v>677</v>
      </c>
      <c r="Q67" s="7" t="s">
        <v>677</v>
      </c>
      <c r="R67" s="7" t="s">
        <v>184</v>
      </c>
      <c r="S67" s="28">
        <v>20</v>
      </c>
      <c r="T67" s="7" t="s">
        <v>677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</row>
    <row r="68" spans="1:28" ht="30" customHeight="1" x14ac:dyDescent="0.3">
      <c r="A68" s="10" t="s">
        <v>1170</v>
      </c>
      <c r="B68" s="10" t="s">
        <v>1171</v>
      </c>
      <c r="C68" s="10" t="s">
        <v>1160</v>
      </c>
      <c r="D68" s="22">
        <v>4.4999999999999997E-3</v>
      </c>
      <c r="E68" s="27">
        <f>일위대가목록!E55</f>
        <v>0</v>
      </c>
      <c r="F68" s="27">
        <f>ROUNDDOWN(D68*E68,2)</f>
        <v>0</v>
      </c>
      <c r="G68" s="27">
        <f>일위대가목록!F55</f>
        <v>1629739</v>
      </c>
      <c r="H68" s="27">
        <f>ROUNDDOWN(D68*G68,2)</f>
        <v>7333.82</v>
      </c>
      <c r="I68" s="27">
        <f>일위대가목록!G55</f>
        <v>0</v>
      </c>
      <c r="J68" s="27">
        <f>ROUNDDOWN(D68*I68,2)</f>
        <v>0</v>
      </c>
      <c r="K68" s="27">
        <f t="shared" si="10"/>
        <v>1629739</v>
      </c>
      <c r="L68" s="27">
        <f t="shared" si="10"/>
        <v>7333.82</v>
      </c>
      <c r="M68" s="10" t="s">
        <v>211</v>
      </c>
      <c r="N68" s="25" t="s">
        <v>895</v>
      </c>
      <c r="O68" s="7" t="s">
        <v>252</v>
      </c>
      <c r="P68" s="7" t="s">
        <v>677</v>
      </c>
      <c r="Q68" s="7" t="s">
        <v>677</v>
      </c>
      <c r="R68" s="7" t="s">
        <v>184</v>
      </c>
      <c r="S68" s="28">
        <v>30</v>
      </c>
      <c r="T68" s="7" t="s">
        <v>677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</row>
    <row r="69" spans="1:28" ht="30" customHeight="1" x14ac:dyDescent="0.3">
      <c r="A69" s="10" t="s">
        <v>489</v>
      </c>
      <c r="B69" s="10" t="s">
        <v>677</v>
      </c>
      <c r="C69" s="10" t="s">
        <v>677</v>
      </c>
      <c r="D69" s="10" t="s">
        <v>677</v>
      </c>
      <c r="E69" s="27">
        <v>0</v>
      </c>
      <c r="F69" s="27">
        <f>ROUNDDOWN(SUMIF(R65:R68, " ", F65:F68),0)</f>
        <v>13388</v>
      </c>
      <c r="G69" s="27">
        <v>0</v>
      </c>
      <c r="H69" s="27">
        <f>ROUNDDOWN(SUMIF(R65:R68, " ", H65:H68),0)</f>
        <v>7333</v>
      </c>
      <c r="I69" s="27">
        <v>0</v>
      </c>
      <c r="J69" s="27">
        <f>ROUNDDOWN(SUMIF(R65:R68, " ", J65:J68),0)</f>
        <v>0</v>
      </c>
      <c r="K69" s="30" t="s">
        <v>677</v>
      </c>
      <c r="L69" s="27">
        <f>F69+H69+J69</f>
        <v>20721</v>
      </c>
      <c r="M69" s="10"/>
      <c r="N69" s="9" t="s">
        <v>606</v>
      </c>
      <c r="O69" s="26" t="s">
        <v>606</v>
      </c>
    </row>
    <row r="70" spans="1:28" ht="30" customHeight="1" x14ac:dyDescent="0.3">
      <c r="A70" s="10" t="s">
        <v>677</v>
      </c>
      <c r="B70" s="10" t="s">
        <v>677</v>
      </c>
      <c r="C70" s="10" t="s">
        <v>677</v>
      </c>
      <c r="D70" s="10" t="s">
        <v>677</v>
      </c>
      <c r="E70" s="10" t="s">
        <v>677</v>
      </c>
      <c r="F70" s="10" t="s">
        <v>677</v>
      </c>
      <c r="G70" s="10" t="s">
        <v>677</v>
      </c>
      <c r="H70" s="10" t="s">
        <v>677</v>
      </c>
      <c r="I70" s="10" t="s">
        <v>677</v>
      </c>
      <c r="J70" s="10" t="s">
        <v>677</v>
      </c>
      <c r="K70" s="10" t="s">
        <v>677</v>
      </c>
      <c r="L70" s="10" t="s">
        <v>677</v>
      </c>
      <c r="M70" s="10" t="s">
        <v>677</v>
      </c>
    </row>
    <row r="71" spans="1:28" ht="30" customHeight="1" x14ac:dyDescent="0.3">
      <c r="A71" s="96" t="s">
        <v>1285</v>
      </c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8"/>
      <c r="N71" s="25" t="s">
        <v>283</v>
      </c>
    </row>
    <row r="72" spans="1:28" ht="30" customHeight="1" x14ac:dyDescent="0.3">
      <c r="A72" s="10" t="s">
        <v>689</v>
      </c>
      <c r="B72" s="10" t="s">
        <v>220</v>
      </c>
      <c r="C72" s="10" t="s">
        <v>526</v>
      </c>
      <c r="D72" s="22">
        <v>0.16700000000000001</v>
      </c>
      <c r="E72" s="27">
        <f>단가대비표!U47</f>
        <v>0</v>
      </c>
      <c r="F72" s="27">
        <f>ROUNDDOWN(D72*E72,2)</f>
        <v>0</v>
      </c>
      <c r="G72" s="27">
        <f>단가대비표!V47</f>
        <v>242631</v>
      </c>
      <c r="H72" s="27">
        <f>ROUNDDOWN(D72*G72,2)</f>
        <v>40519.370000000003</v>
      </c>
      <c r="I72" s="27">
        <f>단가대비표!AE47</f>
        <v>0</v>
      </c>
      <c r="J72" s="27">
        <f>ROUNDDOWN(D72*I72,2)</f>
        <v>0</v>
      </c>
      <c r="K72" s="27">
        <f t="shared" ref="K72:L74" si="15">ROUNDDOWN(E72+G72+I72,2)</f>
        <v>242631</v>
      </c>
      <c r="L72" s="27">
        <f t="shared" si="15"/>
        <v>40519.370000000003</v>
      </c>
      <c r="M72" s="10" t="s">
        <v>781</v>
      </c>
      <c r="N72" s="25" t="s">
        <v>283</v>
      </c>
      <c r="O72" s="7" t="s">
        <v>65</v>
      </c>
      <c r="P72" s="7" t="s">
        <v>677</v>
      </c>
      <c r="Q72" s="7" t="s">
        <v>677</v>
      </c>
      <c r="R72" s="7" t="s">
        <v>184</v>
      </c>
      <c r="S72" s="28">
        <v>10</v>
      </c>
      <c r="T72" s="7" t="s">
        <v>677</v>
      </c>
      <c r="U72" s="28">
        <v>0</v>
      </c>
      <c r="V72" s="28">
        <v>1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</row>
    <row r="73" spans="1:28" ht="30" customHeight="1" x14ac:dyDescent="0.3">
      <c r="A73" s="10" t="s">
        <v>977</v>
      </c>
      <c r="B73" s="10" t="s">
        <v>220</v>
      </c>
      <c r="C73" s="10" t="s">
        <v>526</v>
      </c>
      <c r="D73" s="22">
        <v>5.6000000000000001E-2</v>
      </c>
      <c r="E73" s="27">
        <f>단가대비표!U37</f>
        <v>0</v>
      </c>
      <c r="F73" s="27">
        <f>ROUNDDOWN(D73*E73,2)</f>
        <v>0</v>
      </c>
      <c r="G73" s="27">
        <f>단가대비표!V37</f>
        <v>153671</v>
      </c>
      <c r="H73" s="27">
        <f>ROUNDDOWN(D73*G73,2)</f>
        <v>8605.57</v>
      </c>
      <c r="I73" s="27">
        <f>단가대비표!AE37</f>
        <v>0</v>
      </c>
      <c r="J73" s="27">
        <f>ROUNDDOWN(D73*I73,2)</f>
        <v>0</v>
      </c>
      <c r="K73" s="27">
        <f t="shared" si="15"/>
        <v>153671</v>
      </c>
      <c r="L73" s="27">
        <f t="shared" si="15"/>
        <v>8605.57</v>
      </c>
      <c r="M73" s="10" t="s">
        <v>122</v>
      </c>
      <c r="N73" s="25" t="s">
        <v>283</v>
      </c>
      <c r="O73" s="7" t="s">
        <v>43</v>
      </c>
      <c r="P73" s="7" t="s">
        <v>677</v>
      </c>
      <c r="Q73" s="7" t="s">
        <v>677</v>
      </c>
      <c r="R73" s="7" t="s">
        <v>184</v>
      </c>
      <c r="S73" s="28">
        <v>20</v>
      </c>
      <c r="T73" s="7" t="s">
        <v>677</v>
      </c>
      <c r="U73" s="28">
        <v>0</v>
      </c>
      <c r="V73" s="28">
        <v>1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</row>
    <row r="74" spans="1:28" ht="30" customHeight="1" x14ac:dyDescent="0.3">
      <c r="A74" s="10" t="s">
        <v>941</v>
      </c>
      <c r="B74" s="10" t="s">
        <v>80</v>
      </c>
      <c r="C74" s="10" t="s">
        <v>104</v>
      </c>
      <c r="D74" s="22">
        <v>1</v>
      </c>
      <c r="E74" s="27">
        <f>ROUNDDOWN(SUMIF(V72:V74, RIGHTB(O74, 1), H72:H74)*U74, 2)</f>
        <v>982.49</v>
      </c>
      <c r="F74" s="27">
        <f>ROUNDDOWN(D74*E74,2)</f>
        <v>982.49</v>
      </c>
      <c r="G74" s="27">
        <v>0</v>
      </c>
      <c r="H74" s="27">
        <f>ROUNDDOWN(D74*G74,2)</f>
        <v>0</v>
      </c>
      <c r="I74" s="27">
        <v>0</v>
      </c>
      <c r="J74" s="27">
        <f>ROUNDDOWN(D74*I74,2)</f>
        <v>0</v>
      </c>
      <c r="K74" s="27">
        <f t="shared" si="15"/>
        <v>982.49</v>
      </c>
      <c r="L74" s="27">
        <f t="shared" si="15"/>
        <v>982.49</v>
      </c>
      <c r="M74" s="10"/>
      <c r="N74" s="25" t="s">
        <v>283</v>
      </c>
      <c r="O74" s="7" t="s">
        <v>459</v>
      </c>
      <c r="P74" s="7" t="s">
        <v>677</v>
      </c>
      <c r="Q74" s="7" t="s">
        <v>677</v>
      </c>
      <c r="R74" s="7" t="s">
        <v>184</v>
      </c>
      <c r="S74" s="28">
        <v>30</v>
      </c>
      <c r="T74" s="7" t="s">
        <v>477</v>
      </c>
      <c r="U74" s="28">
        <v>0.02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</row>
    <row r="75" spans="1:28" ht="30" customHeight="1" x14ac:dyDescent="0.3">
      <c r="A75" s="10" t="s">
        <v>489</v>
      </c>
      <c r="B75" s="10" t="s">
        <v>677</v>
      </c>
      <c r="C75" s="10" t="s">
        <v>677</v>
      </c>
      <c r="D75" s="10" t="s">
        <v>677</v>
      </c>
      <c r="E75" s="27">
        <v>0</v>
      </c>
      <c r="F75" s="27">
        <f>ROUNDDOWN(SUMIF(R72:R74, " ", F72:F74),0)</f>
        <v>982</v>
      </c>
      <c r="G75" s="27">
        <v>0</v>
      </c>
      <c r="H75" s="27">
        <f>ROUNDDOWN(SUMIF(R72:R74, " ", H72:H74),0)</f>
        <v>49124</v>
      </c>
      <c r="I75" s="27">
        <v>0</v>
      </c>
      <c r="J75" s="27">
        <f>ROUNDDOWN(SUMIF(R72:R74, " ", J72:J74),0)</f>
        <v>0</v>
      </c>
      <c r="K75" s="30" t="s">
        <v>677</v>
      </c>
      <c r="L75" s="27">
        <f>F75+H75+J75</f>
        <v>50106</v>
      </c>
      <c r="M75" s="10"/>
      <c r="N75" s="9" t="s">
        <v>606</v>
      </c>
      <c r="O75" s="26" t="s">
        <v>606</v>
      </c>
    </row>
    <row r="76" spans="1:28" ht="30" customHeight="1" x14ac:dyDescent="0.3">
      <c r="A76" s="10" t="s">
        <v>677</v>
      </c>
      <c r="B76" s="10" t="s">
        <v>677</v>
      </c>
      <c r="C76" s="10" t="s">
        <v>677</v>
      </c>
      <c r="D76" s="10" t="s">
        <v>677</v>
      </c>
      <c r="E76" s="10" t="s">
        <v>677</v>
      </c>
      <c r="F76" s="10" t="s">
        <v>677</v>
      </c>
      <c r="G76" s="10" t="s">
        <v>677</v>
      </c>
      <c r="H76" s="10" t="s">
        <v>677</v>
      </c>
      <c r="I76" s="10" t="s">
        <v>677</v>
      </c>
      <c r="J76" s="10" t="s">
        <v>677</v>
      </c>
      <c r="K76" s="10" t="s">
        <v>677</v>
      </c>
      <c r="L76" s="10" t="s">
        <v>677</v>
      </c>
      <c r="M76" s="10" t="s">
        <v>677</v>
      </c>
    </row>
    <row r="77" spans="1:28" ht="30" customHeight="1" x14ac:dyDescent="0.3">
      <c r="A77" s="96" t="s">
        <v>826</v>
      </c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8"/>
      <c r="N77" s="25" t="s">
        <v>902</v>
      </c>
    </row>
    <row r="78" spans="1:28" ht="30" customHeight="1" x14ac:dyDescent="0.3">
      <c r="A78" s="10" t="s">
        <v>1131</v>
      </c>
      <c r="B78" s="10" t="s">
        <v>1132</v>
      </c>
      <c r="C78" s="10" t="s">
        <v>1130</v>
      </c>
      <c r="D78" s="22">
        <v>1.03</v>
      </c>
      <c r="E78" s="27">
        <f>단가대비표!U27</f>
        <v>3500</v>
      </c>
      <c r="F78" s="27">
        <f>ROUNDDOWN(D78*E78,2)</f>
        <v>3605</v>
      </c>
      <c r="G78" s="27">
        <f>단가대비표!V27</f>
        <v>0</v>
      </c>
      <c r="H78" s="27">
        <f>ROUNDDOWN(D78*G78,2)</f>
        <v>0</v>
      </c>
      <c r="I78" s="27">
        <f>단가대비표!AE27</f>
        <v>0</v>
      </c>
      <c r="J78" s="27">
        <f>ROUNDDOWN(D78*I78,2)</f>
        <v>0</v>
      </c>
      <c r="K78" s="27">
        <f>ROUNDDOWN(E78+G78+I78,2)</f>
        <v>3500</v>
      </c>
      <c r="L78" s="27">
        <f>ROUNDDOWN(F78+H78+J78,2)</f>
        <v>3605</v>
      </c>
      <c r="M78" s="10" t="s">
        <v>633</v>
      </c>
      <c r="N78" s="25" t="s">
        <v>902</v>
      </c>
      <c r="O78" s="7" t="s">
        <v>203</v>
      </c>
      <c r="P78" s="7" t="s">
        <v>677</v>
      </c>
      <c r="Q78" s="7" t="s">
        <v>677</v>
      </c>
      <c r="R78" s="7" t="s">
        <v>184</v>
      </c>
      <c r="S78" s="28">
        <v>10</v>
      </c>
      <c r="T78" s="7" t="s">
        <v>677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</row>
    <row r="79" spans="1:28" ht="30" customHeight="1" x14ac:dyDescent="0.3">
      <c r="A79" s="10" t="s">
        <v>431</v>
      </c>
      <c r="B79" s="10" t="s">
        <v>220</v>
      </c>
      <c r="C79" s="10" t="s">
        <v>526</v>
      </c>
      <c r="D79" s="22">
        <v>3.5999999999999997E-2</v>
      </c>
      <c r="E79" s="27">
        <f>단가대비표!U46</f>
        <v>0</v>
      </c>
      <c r="F79" s="27">
        <f>ROUNDDOWN(D79*E79,2)</f>
        <v>0</v>
      </c>
      <c r="G79" s="27">
        <f>단가대비표!V46</f>
        <v>233781</v>
      </c>
      <c r="H79" s="27">
        <f>ROUNDDOWN(D79*G79,2)</f>
        <v>8416.11</v>
      </c>
      <c r="I79" s="27">
        <f>단가대비표!AE46</f>
        <v>0</v>
      </c>
      <c r="J79" s="27">
        <f>ROUNDDOWN(D79*I79,2)</f>
        <v>0</v>
      </c>
      <c r="K79" s="27">
        <f>ROUNDDOWN(E79+G79+I79,2)</f>
        <v>233781</v>
      </c>
      <c r="L79" s="27">
        <f>ROUNDDOWN(F79+H79+J79,2)</f>
        <v>8416.11</v>
      </c>
      <c r="M79" s="10" t="s">
        <v>289</v>
      </c>
      <c r="N79" s="25" t="s">
        <v>902</v>
      </c>
      <c r="O79" s="7" t="s">
        <v>89</v>
      </c>
      <c r="P79" s="7" t="s">
        <v>677</v>
      </c>
      <c r="Q79" s="7" t="s">
        <v>677</v>
      </c>
      <c r="R79" s="7" t="s">
        <v>184</v>
      </c>
      <c r="S79" s="28">
        <v>20</v>
      </c>
      <c r="T79" s="7" t="s">
        <v>677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</row>
    <row r="80" spans="1:28" ht="30" customHeight="1" x14ac:dyDescent="0.3">
      <c r="A80" s="10" t="s">
        <v>489</v>
      </c>
      <c r="B80" s="10" t="s">
        <v>677</v>
      </c>
      <c r="C80" s="10" t="s">
        <v>677</v>
      </c>
      <c r="D80" s="10" t="s">
        <v>677</v>
      </c>
      <c r="E80" s="27">
        <v>0</v>
      </c>
      <c r="F80" s="27">
        <f>ROUNDDOWN(SUMIF(R78:R79, " ", F78:F79),0)</f>
        <v>3605</v>
      </c>
      <c r="G80" s="27">
        <v>0</v>
      </c>
      <c r="H80" s="27">
        <f>ROUNDDOWN(SUMIF(R78:R79, " ", H78:H79),0)</f>
        <v>8416</v>
      </c>
      <c r="I80" s="27">
        <v>0</v>
      </c>
      <c r="J80" s="27">
        <f>ROUNDDOWN(SUMIF(R78:R79, " ", J78:J79),0)</f>
        <v>0</v>
      </c>
      <c r="K80" s="30" t="s">
        <v>677</v>
      </c>
      <c r="L80" s="27">
        <f>F80+H80+J80</f>
        <v>12021</v>
      </c>
      <c r="M80" s="10"/>
      <c r="N80" s="9" t="s">
        <v>606</v>
      </c>
      <c r="O80" s="26" t="s">
        <v>606</v>
      </c>
    </row>
    <row r="81" spans="1:28" ht="30" customHeight="1" x14ac:dyDescent="0.3">
      <c r="A81" s="10" t="s">
        <v>677</v>
      </c>
      <c r="B81" s="10" t="s">
        <v>677</v>
      </c>
      <c r="C81" s="10" t="s">
        <v>677</v>
      </c>
      <c r="D81" s="10" t="s">
        <v>677</v>
      </c>
      <c r="E81" s="10" t="s">
        <v>677</v>
      </c>
      <c r="F81" s="10" t="s">
        <v>677</v>
      </c>
      <c r="G81" s="10" t="s">
        <v>677</v>
      </c>
      <c r="H81" s="10" t="s">
        <v>677</v>
      </c>
      <c r="I81" s="10" t="s">
        <v>677</v>
      </c>
      <c r="J81" s="10" t="s">
        <v>677</v>
      </c>
      <c r="K81" s="10" t="s">
        <v>677</v>
      </c>
      <c r="L81" s="10" t="s">
        <v>677</v>
      </c>
      <c r="M81" s="10" t="s">
        <v>677</v>
      </c>
    </row>
    <row r="82" spans="1:28" ht="30" customHeight="1" x14ac:dyDescent="0.3">
      <c r="A82" s="96" t="s">
        <v>107</v>
      </c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8"/>
      <c r="N82" s="25" t="s">
        <v>46</v>
      </c>
    </row>
    <row r="83" spans="1:28" ht="30" customHeight="1" x14ac:dyDescent="0.3">
      <c r="A83" s="10" t="s">
        <v>328</v>
      </c>
      <c r="B83" s="10" t="s">
        <v>501</v>
      </c>
      <c r="C83" s="10" t="s">
        <v>801</v>
      </c>
      <c r="D83" s="22">
        <v>1</v>
      </c>
      <c r="E83" s="27">
        <f>일위대가목록!E54</f>
        <v>977</v>
      </c>
      <c r="F83" s="27">
        <f>ROUNDDOWN(D83*E83,2)</f>
        <v>977</v>
      </c>
      <c r="G83" s="27">
        <f>일위대가목록!F54</f>
        <v>0</v>
      </c>
      <c r="H83" s="27">
        <f>ROUNDDOWN(D83*G83,2)</f>
        <v>0</v>
      </c>
      <c r="I83" s="27">
        <f>일위대가목록!G54</f>
        <v>0</v>
      </c>
      <c r="J83" s="27">
        <f>ROUNDDOWN(D83*I83,2)</f>
        <v>0</v>
      </c>
      <c r="K83" s="27">
        <f>ROUNDDOWN(E83+G83+I83,2)</f>
        <v>977</v>
      </c>
      <c r="L83" s="27">
        <f>ROUNDDOWN(F83+H83+J83,2)</f>
        <v>977</v>
      </c>
      <c r="M83" s="10" t="s">
        <v>701</v>
      </c>
      <c r="N83" s="25" t="s">
        <v>46</v>
      </c>
      <c r="O83" s="7" t="s">
        <v>207</v>
      </c>
      <c r="P83" s="7" t="s">
        <v>677</v>
      </c>
      <c r="Q83" s="7" t="s">
        <v>677</v>
      </c>
      <c r="R83" s="7" t="s">
        <v>184</v>
      </c>
      <c r="S83" s="28">
        <v>10</v>
      </c>
      <c r="T83" s="7" t="s">
        <v>677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</row>
    <row r="84" spans="1:28" ht="30" customHeight="1" x14ac:dyDescent="0.3">
      <c r="A84" s="10" t="s">
        <v>364</v>
      </c>
      <c r="B84" s="10" t="s">
        <v>969</v>
      </c>
      <c r="C84" s="10" t="s">
        <v>801</v>
      </c>
      <c r="D84" s="22">
        <v>1</v>
      </c>
      <c r="E84" s="27">
        <f>일위대가목록!E53</f>
        <v>213</v>
      </c>
      <c r="F84" s="27">
        <f>ROUNDDOWN(D84*E84,2)</f>
        <v>213</v>
      </c>
      <c r="G84" s="27">
        <f>일위대가목록!F53</f>
        <v>10661</v>
      </c>
      <c r="H84" s="27">
        <f>ROUNDDOWN(D84*G84,2)</f>
        <v>10661</v>
      </c>
      <c r="I84" s="27">
        <f>일위대가목록!G53</f>
        <v>0</v>
      </c>
      <c r="J84" s="27">
        <f>ROUNDDOWN(D84*I84,2)</f>
        <v>0</v>
      </c>
      <c r="K84" s="27">
        <f>ROUNDDOWN(E84+G84+I84,2)</f>
        <v>10874</v>
      </c>
      <c r="L84" s="27">
        <f>ROUNDDOWN(F84+H84+J84,2)</f>
        <v>10874</v>
      </c>
      <c r="M84" s="10" t="s">
        <v>716</v>
      </c>
      <c r="N84" s="25" t="s">
        <v>46</v>
      </c>
      <c r="O84" s="7" t="s">
        <v>21</v>
      </c>
      <c r="P84" s="7" t="s">
        <v>677</v>
      </c>
      <c r="Q84" s="7" t="s">
        <v>677</v>
      </c>
      <c r="R84" s="7" t="s">
        <v>184</v>
      </c>
      <c r="S84" s="28">
        <v>20</v>
      </c>
      <c r="T84" s="7" t="s">
        <v>677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</row>
    <row r="85" spans="1:28" ht="30" customHeight="1" x14ac:dyDescent="0.3">
      <c r="A85" s="10" t="s">
        <v>489</v>
      </c>
      <c r="B85" s="10" t="s">
        <v>677</v>
      </c>
      <c r="C85" s="10" t="s">
        <v>677</v>
      </c>
      <c r="D85" s="10" t="s">
        <v>677</v>
      </c>
      <c r="E85" s="27">
        <v>0</v>
      </c>
      <c r="F85" s="27">
        <f>ROUNDDOWN(SUMIF(R83:R84, " ", F83:F84),0)</f>
        <v>1190</v>
      </c>
      <c r="G85" s="27">
        <v>0</v>
      </c>
      <c r="H85" s="27">
        <f>ROUNDDOWN(SUMIF(R83:R84, " ", H83:H84),0)</f>
        <v>10661</v>
      </c>
      <c r="I85" s="27">
        <v>0</v>
      </c>
      <c r="J85" s="27">
        <f>ROUNDDOWN(SUMIF(R83:R84, " ", J83:J84),0)</f>
        <v>0</v>
      </c>
      <c r="K85" s="30" t="s">
        <v>677</v>
      </c>
      <c r="L85" s="27">
        <f>F85+H85+J85</f>
        <v>11851</v>
      </c>
      <c r="M85" s="10"/>
      <c r="N85" s="9" t="s">
        <v>606</v>
      </c>
      <c r="O85" s="26" t="s">
        <v>606</v>
      </c>
    </row>
    <row r="86" spans="1:28" ht="30" customHeight="1" x14ac:dyDescent="0.3">
      <c r="A86" s="10" t="s">
        <v>677</v>
      </c>
      <c r="B86" s="10" t="s">
        <v>677</v>
      </c>
      <c r="C86" s="10" t="s">
        <v>677</v>
      </c>
      <c r="D86" s="10" t="s">
        <v>677</v>
      </c>
      <c r="E86" s="10" t="s">
        <v>677</v>
      </c>
      <c r="F86" s="10" t="s">
        <v>677</v>
      </c>
      <c r="G86" s="10" t="s">
        <v>677</v>
      </c>
      <c r="H86" s="10" t="s">
        <v>677</v>
      </c>
      <c r="I86" s="10" t="s">
        <v>677</v>
      </c>
      <c r="J86" s="10" t="s">
        <v>677</v>
      </c>
      <c r="K86" s="10" t="s">
        <v>677</v>
      </c>
      <c r="L86" s="10" t="s">
        <v>677</v>
      </c>
      <c r="M86" s="10" t="s">
        <v>677</v>
      </c>
    </row>
    <row r="87" spans="1:28" ht="30" customHeight="1" x14ac:dyDescent="0.3">
      <c r="A87" s="96" t="s">
        <v>1138</v>
      </c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8"/>
      <c r="N87" s="25" t="s">
        <v>189</v>
      </c>
    </row>
    <row r="88" spans="1:28" ht="30" customHeight="1" x14ac:dyDescent="0.3">
      <c r="A88" s="10" t="s">
        <v>206</v>
      </c>
      <c r="B88" s="10" t="s">
        <v>220</v>
      </c>
      <c r="C88" s="10" t="s">
        <v>526</v>
      </c>
      <c r="D88" s="22">
        <v>1E-3</v>
      </c>
      <c r="E88" s="27">
        <f>단가대비표!U50</f>
        <v>0</v>
      </c>
      <c r="F88" s="27">
        <f>ROUNDDOWN(D88*E88,2)</f>
        <v>0</v>
      </c>
      <c r="G88" s="27">
        <f>단가대비표!V50</f>
        <v>192790</v>
      </c>
      <c r="H88" s="27">
        <f>ROUNDDOWN(D88*G88,2)</f>
        <v>192.79</v>
      </c>
      <c r="I88" s="27">
        <f>단가대비표!AE50</f>
        <v>0</v>
      </c>
      <c r="J88" s="27">
        <f>ROUNDDOWN(D88*I88,2)</f>
        <v>0</v>
      </c>
      <c r="K88" s="27">
        <f>ROUNDDOWN(E88+G88+I88,2)</f>
        <v>192790</v>
      </c>
      <c r="L88" s="27">
        <f>ROUNDDOWN(F88+H88+J88,2)</f>
        <v>192.79</v>
      </c>
      <c r="M88" s="10" t="s">
        <v>403</v>
      </c>
      <c r="N88" s="25" t="s">
        <v>189</v>
      </c>
      <c r="O88" s="7" t="s">
        <v>138</v>
      </c>
      <c r="P88" s="7" t="s">
        <v>677</v>
      </c>
      <c r="Q88" s="7" t="s">
        <v>677</v>
      </c>
      <c r="R88" s="7" t="s">
        <v>184</v>
      </c>
      <c r="S88" s="28">
        <v>10</v>
      </c>
      <c r="T88" s="7" t="s">
        <v>512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</row>
    <row r="89" spans="1:28" ht="30" customHeight="1" x14ac:dyDescent="0.3">
      <c r="A89" s="10" t="s">
        <v>977</v>
      </c>
      <c r="B89" s="10" t="s">
        <v>220</v>
      </c>
      <c r="C89" s="10" t="s">
        <v>526</v>
      </c>
      <c r="D89" s="22">
        <v>5.0000000000000001E-3</v>
      </c>
      <c r="E89" s="27">
        <f>단가대비표!U37</f>
        <v>0</v>
      </c>
      <c r="F89" s="27">
        <f>ROUNDDOWN(D89*E89,2)</f>
        <v>0</v>
      </c>
      <c r="G89" s="27">
        <f>단가대비표!V37</f>
        <v>153671</v>
      </c>
      <c r="H89" s="27">
        <f>ROUNDDOWN(D89*G89,2)</f>
        <v>768.35</v>
      </c>
      <c r="I89" s="27">
        <f>단가대비표!AE37</f>
        <v>0</v>
      </c>
      <c r="J89" s="27">
        <f>ROUNDDOWN(D89*I89,2)</f>
        <v>0</v>
      </c>
      <c r="K89" s="27">
        <f>ROUNDDOWN(E89+G89+I89,2)</f>
        <v>153671</v>
      </c>
      <c r="L89" s="27">
        <f>ROUNDDOWN(F89+H89+J89,2)</f>
        <v>768.35</v>
      </c>
      <c r="M89" s="10" t="s">
        <v>122</v>
      </c>
      <c r="N89" s="25" t="s">
        <v>189</v>
      </c>
      <c r="O89" s="7" t="s">
        <v>43</v>
      </c>
      <c r="P89" s="7" t="s">
        <v>677</v>
      </c>
      <c r="Q89" s="7" t="s">
        <v>677</v>
      </c>
      <c r="R89" s="7" t="s">
        <v>184</v>
      </c>
      <c r="S89" s="28">
        <v>20</v>
      </c>
      <c r="T89" s="7" t="s">
        <v>418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</row>
    <row r="90" spans="1:28" ht="30" customHeight="1" x14ac:dyDescent="0.3">
      <c r="A90" s="10" t="s">
        <v>489</v>
      </c>
      <c r="B90" s="10" t="s">
        <v>677</v>
      </c>
      <c r="C90" s="10" t="s">
        <v>677</v>
      </c>
      <c r="D90" s="10" t="s">
        <v>677</v>
      </c>
      <c r="E90" s="27">
        <v>0</v>
      </c>
      <c r="F90" s="27">
        <f>ROUNDDOWN(SUMIF(R88:R89, " ", F88:F89),0)</f>
        <v>0</v>
      </c>
      <c r="G90" s="27">
        <v>0</v>
      </c>
      <c r="H90" s="27">
        <f>ROUNDDOWN(SUMIF(R88:R89, " ", H88:H89),0)</f>
        <v>961</v>
      </c>
      <c r="I90" s="27">
        <v>0</v>
      </c>
      <c r="J90" s="27">
        <f>ROUNDDOWN(SUMIF(R88:R89, " ", J88:J89),0)</f>
        <v>0</v>
      </c>
      <c r="K90" s="30" t="s">
        <v>677</v>
      </c>
      <c r="L90" s="27">
        <f>F90+H90+J90</f>
        <v>961</v>
      </c>
      <c r="M90" s="10"/>
      <c r="N90" s="9" t="s">
        <v>606</v>
      </c>
      <c r="O90" s="26" t="s">
        <v>606</v>
      </c>
    </row>
    <row r="91" spans="1:28" ht="30" customHeight="1" x14ac:dyDescent="0.3">
      <c r="A91" s="10" t="s">
        <v>677</v>
      </c>
      <c r="B91" s="10" t="s">
        <v>677</v>
      </c>
      <c r="C91" s="10" t="s">
        <v>677</v>
      </c>
      <c r="D91" s="10" t="s">
        <v>677</v>
      </c>
      <c r="E91" s="10" t="s">
        <v>677</v>
      </c>
      <c r="F91" s="10" t="s">
        <v>677</v>
      </c>
      <c r="G91" s="10" t="s">
        <v>677</v>
      </c>
      <c r="H91" s="10" t="s">
        <v>677</v>
      </c>
      <c r="I91" s="10" t="s">
        <v>677</v>
      </c>
      <c r="J91" s="10" t="s">
        <v>677</v>
      </c>
      <c r="K91" s="10" t="s">
        <v>677</v>
      </c>
      <c r="L91" s="10" t="s">
        <v>677</v>
      </c>
      <c r="M91" s="10" t="s">
        <v>677</v>
      </c>
    </row>
    <row r="92" spans="1:28" ht="30" customHeight="1" x14ac:dyDescent="0.3">
      <c r="A92" s="96" t="s">
        <v>617</v>
      </c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8"/>
      <c r="N92" s="25" t="s">
        <v>669</v>
      </c>
    </row>
    <row r="93" spans="1:28" ht="30" customHeight="1" x14ac:dyDescent="0.3">
      <c r="A93" s="10" t="s">
        <v>859</v>
      </c>
      <c r="B93" s="10" t="s">
        <v>220</v>
      </c>
      <c r="C93" s="10" t="s">
        <v>526</v>
      </c>
      <c r="D93" s="22">
        <v>7.0000000000000007E-2</v>
      </c>
      <c r="E93" s="27">
        <f>단가대비표!U44</f>
        <v>0</v>
      </c>
      <c r="F93" s="27">
        <f>ROUNDDOWN(D93*E93,2)</f>
        <v>0</v>
      </c>
      <c r="G93" s="27">
        <f>단가대비표!V44</f>
        <v>235988</v>
      </c>
      <c r="H93" s="27">
        <f>ROUNDDOWN(D93*G93,2)</f>
        <v>16519.16</v>
      </c>
      <c r="I93" s="27">
        <f>단가대비표!AE44</f>
        <v>0</v>
      </c>
      <c r="J93" s="27">
        <f>ROUNDDOWN(D93*I93,2)</f>
        <v>0</v>
      </c>
      <c r="K93" s="27">
        <f t="shared" ref="K93:L96" si="16">ROUNDDOWN(E93+G93+I93,2)</f>
        <v>235988</v>
      </c>
      <c r="L93" s="27">
        <f t="shared" si="16"/>
        <v>16519.16</v>
      </c>
      <c r="M93" s="10" t="s">
        <v>108</v>
      </c>
      <c r="N93" s="25" t="s">
        <v>669</v>
      </c>
      <c r="O93" s="7" t="s">
        <v>340</v>
      </c>
      <c r="P93" s="7" t="s">
        <v>677</v>
      </c>
      <c r="Q93" s="7" t="s">
        <v>677</v>
      </c>
      <c r="R93" s="7" t="s">
        <v>184</v>
      </c>
      <c r="S93" s="28">
        <v>10</v>
      </c>
      <c r="T93" s="7" t="s">
        <v>677</v>
      </c>
      <c r="U93" s="28">
        <v>0</v>
      </c>
      <c r="V93" s="28">
        <v>1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</row>
    <row r="94" spans="1:28" ht="30" customHeight="1" x14ac:dyDescent="0.3">
      <c r="A94" s="10" t="s">
        <v>977</v>
      </c>
      <c r="B94" s="10" t="s">
        <v>220</v>
      </c>
      <c r="C94" s="10" t="s">
        <v>526</v>
      </c>
      <c r="D94" s="22">
        <v>0.02</v>
      </c>
      <c r="E94" s="27">
        <f>단가대비표!U37</f>
        <v>0</v>
      </c>
      <c r="F94" s="27">
        <f>ROUNDDOWN(D94*E94,2)</f>
        <v>0</v>
      </c>
      <c r="G94" s="27">
        <f>단가대비표!V37</f>
        <v>153671</v>
      </c>
      <c r="H94" s="27">
        <f>ROUNDDOWN(D94*G94,2)</f>
        <v>3073.42</v>
      </c>
      <c r="I94" s="27">
        <f>단가대비표!AE37</f>
        <v>0</v>
      </c>
      <c r="J94" s="27">
        <f>ROUNDDOWN(D94*I94,2)</f>
        <v>0</v>
      </c>
      <c r="K94" s="27">
        <f t="shared" si="16"/>
        <v>153671</v>
      </c>
      <c r="L94" s="27">
        <f t="shared" si="16"/>
        <v>3073.42</v>
      </c>
      <c r="M94" s="10" t="s">
        <v>122</v>
      </c>
      <c r="N94" s="25" t="s">
        <v>669</v>
      </c>
      <c r="O94" s="7" t="s">
        <v>43</v>
      </c>
      <c r="P94" s="7" t="s">
        <v>677</v>
      </c>
      <c r="Q94" s="7" t="s">
        <v>677</v>
      </c>
      <c r="R94" s="7" t="s">
        <v>184</v>
      </c>
      <c r="S94" s="28">
        <v>20</v>
      </c>
      <c r="T94" s="7" t="s">
        <v>677</v>
      </c>
      <c r="U94" s="28">
        <v>0</v>
      </c>
      <c r="V94" s="28">
        <v>1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</row>
    <row r="95" spans="1:28" ht="30" customHeight="1" x14ac:dyDescent="0.3">
      <c r="A95" s="10" t="s">
        <v>941</v>
      </c>
      <c r="B95" s="10" t="s">
        <v>80</v>
      </c>
      <c r="C95" s="10" t="s">
        <v>104</v>
      </c>
      <c r="D95" s="22">
        <v>1</v>
      </c>
      <c r="E95" s="27">
        <f>ROUNDDOWN(SUMIF(V93:V96, RIGHTB(O95, 1), H93:H96)*U95, 2)</f>
        <v>391.85</v>
      </c>
      <c r="F95" s="27">
        <f>ROUNDDOWN(D95*E95,2)</f>
        <v>391.85</v>
      </c>
      <c r="G95" s="27">
        <v>0</v>
      </c>
      <c r="H95" s="27">
        <f>ROUNDDOWN(D95*G95,2)</f>
        <v>0</v>
      </c>
      <c r="I95" s="27">
        <v>0</v>
      </c>
      <c r="J95" s="27">
        <f>ROUNDDOWN(D95*I95,2)</f>
        <v>0</v>
      </c>
      <c r="K95" s="27">
        <f t="shared" si="16"/>
        <v>391.85</v>
      </c>
      <c r="L95" s="27">
        <f t="shared" si="16"/>
        <v>391.85</v>
      </c>
      <c r="M95" s="10"/>
      <c r="N95" s="25" t="s">
        <v>669</v>
      </c>
      <c r="O95" s="7" t="s">
        <v>459</v>
      </c>
      <c r="P95" s="7" t="s">
        <v>677</v>
      </c>
      <c r="Q95" s="7" t="s">
        <v>677</v>
      </c>
      <c r="R95" s="7" t="s">
        <v>184</v>
      </c>
      <c r="S95" s="28">
        <v>30</v>
      </c>
      <c r="T95" s="7" t="s">
        <v>477</v>
      </c>
      <c r="U95" s="28">
        <v>0.02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</row>
    <row r="96" spans="1:28" ht="30" customHeight="1" x14ac:dyDescent="0.3">
      <c r="A96" s="10" t="s">
        <v>631</v>
      </c>
      <c r="B96" s="10" t="s">
        <v>116</v>
      </c>
      <c r="C96" s="10" t="s">
        <v>249</v>
      </c>
      <c r="D96" s="22">
        <v>0.1</v>
      </c>
      <c r="E96" s="27">
        <f>일위대가목록!E41</f>
        <v>25087</v>
      </c>
      <c r="F96" s="27">
        <f>ROUNDDOWN(D96*E96,2)</f>
        <v>2508.6999999999998</v>
      </c>
      <c r="G96" s="27">
        <f>일위대가목록!F41</f>
        <v>47967</v>
      </c>
      <c r="H96" s="27">
        <f>ROUNDDOWN(D96*G96,2)</f>
        <v>4796.7</v>
      </c>
      <c r="I96" s="27">
        <f>일위대가목록!G41</f>
        <v>22383</v>
      </c>
      <c r="J96" s="27">
        <f>ROUNDDOWN(D96*I96,2)</f>
        <v>2238.3000000000002</v>
      </c>
      <c r="K96" s="27">
        <f t="shared" si="16"/>
        <v>95437</v>
      </c>
      <c r="L96" s="27">
        <f t="shared" si="16"/>
        <v>9543.7000000000007</v>
      </c>
      <c r="M96" s="10" t="s">
        <v>868</v>
      </c>
      <c r="N96" s="25" t="s">
        <v>669</v>
      </c>
      <c r="O96" s="7" t="s">
        <v>569</v>
      </c>
      <c r="P96" s="7" t="s">
        <v>677</v>
      </c>
      <c r="Q96" s="7" t="s">
        <v>677</v>
      </c>
      <c r="R96" s="7" t="s">
        <v>184</v>
      </c>
      <c r="S96" s="28">
        <v>40</v>
      </c>
      <c r="T96" s="7" t="s">
        <v>677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</row>
    <row r="97" spans="1:28" ht="30" customHeight="1" x14ac:dyDescent="0.3">
      <c r="A97" s="10" t="s">
        <v>489</v>
      </c>
      <c r="B97" s="10" t="s">
        <v>677</v>
      </c>
      <c r="C97" s="10" t="s">
        <v>677</v>
      </c>
      <c r="D97" s="10" t="s">
        <v>677</v>
      </c>
      <c r="E97" s="27">
        <v>0</v>
      </c>
      <c r="F97" s="27">
        <f>ROUNDDOWN(SUMIF(R93:R96, " ", F93:F96),0)</f>
        <v>2900</v>
      </c>
      <c r="G97" s="27">
        <v>0</v>
      </c>
      <c r="H97" s="27">
        <f>ROUNDDOWN(SUMIF(R93:R96, " ", H93:H96),0)</f>
        <v>24389</v>
      </c>
      <c r="I97" s="27">
        <v>0</v>
      </c>
      <c r="J97" s="27">
        <f>ROUNDDOWN(SUMIF(R93:R96, " ", J93:J96),0)</f>
        <v>2238</v>
      </c>
      <c r="K97" s="30" t="s">
        <v>677</v>
      </c>
      <c r="L97" s="27">
        <f>F97+H97+J97</f>
        <v>29527</v>
      </c>
      <c r="M97" s="10"/>
      <c r="N97" s="9" t="s">
        <v>606</v>
      </c>
      <c r="O97" s="26" t="s">
        <v>606</v>
      </c>
    </row>
    <row r="98" spans="1:28" ht="30" customHeight="1" x14ac:dyDescent="0.3">
      <c r="A98" s="10" t="s">
        <v>677</v>
      </c>
      <c r="B98" s="10" t="s">
        <v>677</v>
      </c>
      <c r="C98" s="10" t="s">
        <v>677</v>
      </c>
      <c r="D98" s="10" t="s">
        <v>677</v>
      </c>
      <c r="E98" s="10" t="s">
        <v>677</v>
      </c>
      <c r="F98" s="10" t="s">
        <v>677</v>
      </c>
      <c r="G98" s="10" t="s">
        <v>677</v>
      </c>
      <c r="H98" s="10" t="s">
        <v>677</v>
      </c>
      <c r="I98" s="10" t="s">
        <v>677</v>
      </c>
      <c r="J98" s="10" t="s">
        <v>677</v>
      </c>
      <c r="K98" s="10" t="s">
        <v>677</v>
      </c>
      <c r="L98" s="10" t="s">
        <v>677</v>
      </c>
      <c r="M98" s="10" t="s">
        <v>677</v>
      </c>
    </row>
    <row r="99" spans="1:28" ht="30" customHeight="1" x14ac:dyDescent="0.3">
      <c r="A99" s="96" t="s">
        <v>470</v>
      </c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8"/>
      <c r="N99" s="25" t="s">
        <v>508</v>
      </c>
    </row>
    <row r="100" spans="1:28" ht="30" customHeight="1" x14ac:dyDescent="0.3">
      <c r="A100" s="10" t="s">
        <v>354</v>
      </c>
      <c r="B100" s="10" t="s">
        <v>892</v>
      </c>
      <c r="C100" s="10" t="s">
        <v>1038</v>
      </c>
      <c r="D100" s="22">
        <v>1</v>
      </c>
      <c r="E100" s="27">
        <f>단가대비표!U14</f>
        <v>1020000</v>
      </c>
      <c r="F100" s="27">
        <f>ROUNDDOWN(D100*E100,2)</f>
        <v>1020000</v>
      </c>
      <c r="G100" s="27">
        <f>단가대비표!V14</f>
        <v>0</v>
      </c>
      <c r="H100" s="27">
        <f>ROUNDDOWN(D100*G100,2)</f>
        <v>0</v>
      </c>
      <c r="I100" s="27">
        <f>단가대비표!AE14</f>
        <v>0</v>
      </c>
      <c r="J100" s="27">
        <f>ROUNDDOWN(D100*I100,2)</f>
        <v>0</v>
      </c>
      <c r="K100" s="27">
        <f>ROUNDDOWN(E100+G100+I100,2)</f>
        <v>1020000</v>
      </c>
      <c r="L100" s="27">
        <f>ROUNDDOWN(F100+H100+J100,2)</f>
        <v>1020000</v>
      </c>
      <c r="M100" s="10" t="s">
        <v>1007</v>
      </c>
      <c r="N100" s="25" t="s">
        <v>508</v>
      </c>
      <c r="O100" s="7" t="s">
        <v>947</v>
      </c>
      <c r="P100" s="7" t="s">
        <v>677</v>
      </c>
      <c r="Q100" s="7" t="s">
        <v>677</v>
      </c>
      <c r="R100" s="7" t="s">
        <v>184</v>
      </c>
      <c r="S100" s="28">
        <v>10</v>
      </c>
      <c r="T100" s="7" t="s">
        <v>677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</row>
    <row r="101" spans="1:28" ht="30" customHeight="1" x14ac:dyDescent="0.3">
      <c r="A101" s="10" t="s">
        <v>68</v>
      </c>
      <c r="B101" s="10" t="s">
        <v>677</v>
      </c>
      <c r="C101" s="10" t="s">
        <v>924</v>
      </c>
      <c r="D101" s="22">
        <v>1</v>
      </c>
      <c r="E101" s="27">
        <f>단가대비표!U66</f>
        <v>0</v>
      </c>
      <c r="F101" s="27">
        <f>ROUNDDOWN(D101*E101,2)</f>
        <v>0</v>
      </c>
      <c r="G101" s="27">
        <f>단가대비표!V66</f>
        <v>0</v>
      </c>
      <c r="H101" s="27">
        <f>ROUNDDOWN(D101*G101,2)</f>
        <v>0</v>
      </c>
      <c r="I101" s="27">
        <f>단가대비표!AE66</f>
        <v>2056.36</v>
      </c>
      <c r="J101" s="27">
        <f>ROUNDDOWN(D101*I101,2)</f>
        <v>2056.36</v>
      </c>
      <c r="K101" s="27">
        <f>ROUNDDOWN(E101+G101+I101,2)</f>
        <v>2056.36</v>
      </c>
      <c r="L101" s="27">
        <f>ROUNDDOWN(F101+H101+J101,2)</f>
        <v>2056.36</v>
      </c>
      <c r="M101" s="10" t="s">
        <v>503</v>
      </c>
      <c r="N101" s="25" t="s">
        <v>508</v>
      </c>
      <c r="O101" s="7" t="s">
        <v>173</v>
      </c>
      <c r="P101" s="7" t="s">
        <v>677</v>
      </c>
      <c r="Q101" s="7" t="s">
        <v>677</v>
      </c>
      <c r="R101" s="7" t="s">
        <v>94</v>
      </c>
      <c r="S101" s="28">
        <v>20</v>
      </c>
      <c r="T101" s="7" t="s">
        <v>677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</row>
    <row r="102" spans="1:28" ht="30" customHeight="1" x14ac:dyDescent="0.3">
      <c r="A102" s="10" t="s">
        <v>489</v>
      </c>
      <c r="B102" s="10" t="s">
        <v>677</v>
      </c>
      <c r="C102" s="10" t="s">
        <v>677</v>
      </c>
      <c r="D102" s="10" t="s">
        <v>677</v>
      </c>
      <c r="E102" s="27">
        <v>0</v>
      </c>
      <c r="F102" s="27">
        <f>ROUNDDOWN(SUMIF(R100:R101, " ", F100:F101),0)</f>
        <v>1020000</v>
      </c>
      <c r="G102" s="27">
        <v>0</v>
      </c>
      <c r="H102" s="27">
        <f>ROUNDDOWN(SUMIF(R100:R101, " ", H100:H101),0)</f>
        <v>0</v>
      </c>
      <c r="I102" s="27">
        <v>0</v>
      </c>
      <c r="J102" s="27">
        <f>ROUNDDOWN(SUMIF(R100:R101, " ", J100:J101),0)</f>
        <v>0</v>
      </c>
      <c r="K102" s="30" t="s">
        <v>677</v>
      </c>
      <c r="L102" s="27">
        <f>F102+H102+J102</f>
        <v>1020000</v>
      </c>
      <c r="M102" s="10"/>
      <c r="N102" s="9" t="s">
        <v>606</v>
      </c>
      <c r="O102" s="26" t="s">
        <v>606</v>
      </c>
    </row>
    <row r="103" spans="1:28" ht="30" customHeight="1" x14ac:dyDescent="0.3">
      <c r="A103" s="10" t="s">
        <v>677</v>
      </c>
      <c r="B103" s="10" t="s">
        <v>677</v>
      </c>
      <c r="C103" s="10" t="s">
        <v>677</v>
      </c>
      <c r="D103" s="10" t="s">
        <v>677</v>
      </c>
      <c r="E103" s="10" t="s">
        <v>677</v>
      </c>
      <c r="F103" s="10" t="s">
        <v>677</v>
      </c>
      <c r="G103" s="10" t="s">
        <v>677</v>
      </c>
      <c r="H103" s="10" t="s">
        <v>677</v>
      </c>
      <c r="I103" s="10" t="s">
        <v>677</v>
      </c>
      <c r="J103" s="10" t="s">
        <v>677</v>
      </c>
      <c r="K103" s="10" t="s">
        <v>677</v>
      </c>
      <c r="L103" s="10" t="s">
        <v>677</v>
      </c>
      <c r="M103" s="10" t="s">
        <v>677</v>
      </c>
    </row>
    <row r="104" spans="1:28" ht="30" customHeight="1" x14ac:dyDescent="0.3">
      <c r="A104" s="96" t="s">
        <v>507</v>
      </c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8"/>
      <c r="N104" s="25" t="s">
        <v>749</v>
      </c>
    </row>
    <row r="105" spans="1:28" ht="30" customHeight="1" x14ac:dyDescent="0.3">
      <c r="A105" s="10" t="s">
        <v>574</v>
      </c>
      <c r="B105" s="10" t="s">
        <v>208</v>
      </c>
      <c r="C105" s="10" t="s">
        <v>1038</v>
      </c>
      <c r="D105" s="22">
        <v>1</v>
      </c>
      <c r="E105" s="27">
        <f>일위대가목록!E33</f>
        <v>0</v>
      </c>
      <c r="F105" s="27">
        <f>ROUNDDOWN(D105*E105,2)</f>
        <v>0</v>
      </c>
      <c r="G105" s="27">
        <f>일위대가목록!F33</f>
        <v>199462</v>
      </c>
      <c r="H105" s="27">
        <f>ROUNDDOWN(D105*G105,2)</f>
        <v>199462</v>
      </c>
      <c r="I105" s="27">
        <f>일위대가목록!G33</f>
        <v>17951</v>
      </c>
      <c r="J105" s="27">
        <f>ROUNDDOWN(D105*I105,2)</f>
        <v>17951</v>
      </c>
      <c r="K105" s="27">
        <f>ROUNDDOWN(E105+G105+I105,2)</f>
        <v>217413</v>
      </c>
      <c r="L105" s="27">
        <f>ROUNDDOWN(F105+H105+J105,2)</f>
        <v>217413</v>
      </c>
      <c r="M105" s="10" t="s">
        <v>549</v>
      </c>
      <c r="N105" s="25" t="s">
        <v>749</v>
      </c>
      <c r="O105" s="7" t="s">
        <v>622</v>
      </c>
      <c r="P105" s="7" t="s">
        <v>677</v>
      </c>
      <c r="Q105" s="7" t="s">
        <v>677</v>
      </c>
      <c r="R105" s="7" t="s">
        <v>184</v>
      </c>
      <c r="S105" s="28">
        <v>10</v>
      </c>
      <c r="T105" s="7" t="s">
        <v>791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</row>
    <row r="106" spans="1:28" ht="30" customHeight="1" x14ac:dyDescent="0.3">
      <c r="A106" s="10" t="s">
        <v>798</v>
      </c>
      <c r="B106" s="10" t="s">
        <v>506</v>
      </c>
      <c r="C106" s="10" t="s">
        <v>1038</v>
      </c>
      <c r="D106" s="22">
        <v>1</v>
      </c>
      <c r="E106" s="27">
        <f>일위대가목록!E34</f>
        <v>9906</v>
      </c>
      <c r="F106" s="27">
        <f>ROUNDDOWN(D106*E106,2)</f>
        <v>9906</v>
      </c>
      <c r="G106" s="27">
        <f>일위대가목록!F34</f>
        <v>759006</v>
      </c>
      <c r="H106" s="27">
        <f>ROUNDDOWN(D106*G106,2)</f>
        <v>759006</v>
      </c>
      <c r="I106" s="27">
        <f>일위대가목록!G34</f>
        <v>10120</v>
      </c>
      <c r="J106" s="27">
        <f>ROUNDDOWN(D106*I106,2)</f>
        <v>10120</v>
      </c>
      <c r="K106" s="27">
        <f>ROUNDDOWN(E106+G106+I106,2)</f>
        <v>779032</v>
      </c>
      <c r="L106" s="27">
        <f>ROUNDDOWN(F106+H106+J106,2)</f>
        <v>779032</v>
      </c>
      <c r="M106" s="10" t="s">
        <v>460</v>
      </c>
      <c r="N106" s="25" t="s">
        <v>749</v>
      </c>
      <c r="O106" s="7" t="s">
        <v>660</v>
      </c>
      <c r="P106" s="7" t="s">
        <v>677</v>
      </c>
      <c r="Q106" s="7" t="s">
        <v>677</v>
      </c>
      <c r="R106" s="7" t="s">
        <v>184</v>
      </c>
      <c r="S106" s="28">
        <v>20</v>
      </c>
      <c r="T106" s="7" t="s">
        <v>791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</row>
    <row r="107" spans="1:28" ht="30" customHeight="1" x14ac:dyDescent="0.3">
      <c r="A107" s="10" t="s">
        <v>489</v>
      </c>
      <c r="B107" s="10" t="s">
        <v>677</v>
      </c>
      <c r="C107" s="10" t="s">
        <v>677</v>
      </c>
      <c r="D107" s="10" t="s">
        <v>677</v>
      </c>
      <c r="E107" s="27">
        <v>0</v>
      </c>
      <c r="F107" s="27">
        <f>ROUNDDOWN(SUMIF(R105:R106, " ", F105:F106),0)</f>
        <v>9906</v>
      </c>
      <c r="G107" s="27">
        <v>0</v>
      </c>
      <c r="H107" s="27">
        <f>ROUNDDOWN(SUMIF(R105:R106, " ", H105:H106),0)</f>
        <v>958468</v>
      </c>
      <c r="I107" s="27">
        <v>0</v>
      </c>
      <c r="J107" s="27">
        <f>ROUNDDOWN(SUMIF(R105:R106, " ", J105:J106),0)</f>
        <v>28071</v>
      </c>
      <c r="K107" s="30" t="s">
        <v>677</v>
      </c>
      <c r="L107" s="27">
        <f>F107+H107+J107</f>
        <v>996445</v>
      </c>
      <c r="M107" s="10"/>
      <c r="N107" s="9" t="s">
        <v>606</v>
      </c>
      <c r="O107" s="26" t="s">
        <v>606</v>
      </c>
    </row>
    <row r="108" spans="1:28" ht="30" customHeight="1" x14ac:dyDescent="0.3">
      <c r="A108" s="10" t="s">
        <v>677</v>
      </c>
      <c r="B108" s="10" t="s">
        <v>677</v>
      </c>
      <c r="C108" s="10" t="s">
        <v>677</v>
      </c>
      <c r="D108" s="10" t="s">
        <v>677</v>
      </c>
      <c r="E108" s="10" t="s">
        <v>677</v>
      </c>
      <c r="F108" s="10" t="s">
        <v>677</v>
      </c>
      <c r="G108" s="10" t="s">
        <v>677</v>
      </c>
      <c r="H108" s="10" t="s">
        <v>677</v>
      </c>
      <c r="I108" s="10" t="s">
        <v>677</v>
      </c>
      <c r="J108" s="10" t="s">
        <v>677</v>
      </c>
      <c r="K108" s="10" t="s">
        <v>677</v>
      </c>
      <c r="L108" s="10" t="s">
        <v>677</v>
      </c>
      <c r="M108" s="10" t="s">
        <v>677</v>
      </c>
    </row>
    <row r="109" spans="1:28" ht="30" customHeight="1" x14ac:dyDescent="0.3">
      <c r="A109" s="96" t="s">
        <v>829</v>
      </c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8"/>
      <c r="N109" s="25" t="s">
        <v>311</v>
      </c>
    </row>
    <row r="110" spans="1:28" ht="30" customHeight="1" x14ac:dyDescent="0.3">
      <c r="A110" s="10" t="s">
        <v>299</v>
      </c>
      <c r="B110" s="10" t="s">
        <v>595</v>
      </c>
      <c r="C110" s="10" t="s">
        <v>801</v>
      </c>
      <c r="D110" s="22">
        <v>1</v>
      </c>
      <c r="E110" s="27">
        <f>일위대가목록!E35</f>
        <v>2998</v>
      </c>
      <c r="F110" s="27">
        <f>ROUNDDOWN(D110*E110,2)</f>
        <v>2998</v>
      </c>
      <c r="G110" s="27">
        <f>일위대가목록!F35</f>
        <v>0</v>
      </c>
      <c r="H110" s="27">
        <f>ROUNDDOWN(D110*G110,2)</f>
        <v>0</v>
      </c>
      <c r="I110" s="27">
        <f>일위대가목록!G35</f>
        <v>0</v>
      </c>
      <c r="J110" s="27">
        <f>ROUNDDOWN(D110*I110,2)</f>
        <v>0</v>
      </c>
      <c r="K110" s="27">
        <f>ROUNDDOWN(E110+G110+I110,2)</f>
        <v>2998</v>
      </c>
      <c r="L110" s="27">
        <f>ROUNDDOWN(F110+H110+J110,2)</f>
        <v>2998</v>
      </c>
      <c r="M110" s="10" t="s">
        <v>188</v>
      </c>
      <c r="N110" s="25" t="s">
        <v>311</v>
      </c>
      <c r="O110" s="7" t="s">
        <v>8</v>
      </c>
      <c r="P110" s="7" t="s">
        <v>677</v>
      </c>
      <c r="Q110" s="7" t="s">
        <v>677</v>
      </c>
      <c r="R110" s="7" t="s">
        <v>184</v>
      </c>
      <c r="S110" s="28">
        <v>10</v>
      </c>
      <c r="T110" s="7" t="s">
        <v>791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</row>
    <row r="111" spans="1:28" ht="30" customHeight="1" x14ac:dyDescent="0.3">
      <c r="A111" s="10" t="s">
        <v>563</v>
      </c>
      <c r="B111" s="10" t="s">
        <v>326</v>
      </c>
      <c r="C111" s="10" t="s">
        <v>801</v>
      </c>
      <c r="D111" s="22">
        <v>1</v>
      </c>
      <c r="E111" s="27">
        <f>일위대가목록!E37</f>
        <v>0</v>
      </c>
      <c r="F111" s="27">
        <f>ROUNDDOWN(D111*E111,2)</f>
        <v>0</v>
      </c>
      <c r="G111" s="27">
        <f>일위대가목록!F37</f>
        <v>27711</v>
      </c>
      <c r="H111" s="27">
        <f>ROUNDDOWN(D111*G111,2)</f>
        <v>27711</v>
      </c>
      <c r="I111" s="27">
        <f>일위대가목록!G37</f>
        <v>831</v>
      </c>
      <c r="J111" s="27">
        <f>ROUNDDOWN(D111*I111,2)</f>
        <v>831</v>
      </c>
      <c r="K111" s="27">
        <f>ROUNDDOWN(E111+G111+I111,2)</f>
        <v>28542</v>
      </c>
      <c r="L111" s="27">
        <f>ROUNDDOWN(F111+H111+J111,2)</f>
        <v>28542</v>
      </c>
      <c r="M111" s="10" t="s">
        <v>873</v>
      </c>
      <c r="N111" s="25" t="s">
        <v>311</v>
      </c>
      <c r="O111" s="7" t="s">
        <v>787</v>
      </c>
      <c r="P111" s="7" t="s">
        <v>677</v>
      </c>
      <c r="Q111" s="7" t="s">
        <v>677</v>
      </c>
      <c r="R111" s="7" t="s">
        <v>184</v>
      </c>
      <c r="S111" s="28">
        <v>20</v>
      </c>
      <c r="T111" s="7" t="s">
        <v>677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</row>
    <row r="112" spans="1:28" ht="30" customHeight="1" x14ac:dyDescent="0.3">
      <c r="A112" s="10" t="s">
        <v>489</v>
      </c>
      <c r="B112" s="10" t="s">
        <v>677</v>
      </c>
      <c r="C112" s="10" t="s">
        <v>677</v>
      </c>
      <c r="D112" s="10" t="s">
        <v>677</v>
      </c>
      <c r="E112" s="27">
        <v>0</v>
      </c>
      <c r="F112" s="27">
        <f>ROUNDDOWN(SUMIF(R110:R111, " ", F110:F111),0)</f>
        <v>2998</v>
      </c>
      <c r="G112" s="27">
        <v>0</v>
      </c>
      <c r="H112" s="27">
        <f>ROUNDDOWN(SUMIF(R110:R111, " ", H110:H111),0)</f>
        <v>27711</v>
      </c>
      <c r="I112" s="27">
        <v>0</v>
      </c>
      <c r="J112" s="27">
        <f>ROUNDDOWN(SUMIF(R110:R111, " ", J110:J111),0)</f>
        <v>831</v>
      </c>
      <c r="K112" s="30" t="s">
        <v>677</v>
      </c>
      <c r="L112" s="27">
        <f>F112+H112+J112</f>
        <v>31540</v>
      </c>
      <c r="M112" s="10"/>
      <c r="N112" s="9" t="s">
        <v>606</v>
      </c>
      <c r="O112" s="26" t="s">
        <v>606</v>
      </c>
    </row>
    <row r="113" spans="1:28" ht="30" customHeight="1" x14ac:dyDescent="0.3">
      <c r="A113" s="10" t="s">
        <v>677</v>
      </c>
      <c r="B113" s="10" t="s">
        <v>677</v>
      </c>
      <c r="C113" s="10" t="s">
        <v>677</v>
      </c>
      <c r="D113" s="10" t="s">
        <v>677</v>
      </c>
      <c r="E113" s="10" t="s">
        <v>677</v>
      </c>
      <c r="F113" s="10" t="s">
        <v>677</v>
      </c>
      <c r="G113" s="10" t="s">
        <v>677</v>
      </c>
      <c r="H113" s="10" t="s">
        <v>677</v>
      </c>
      <c r="I113" s="10" t="s">
        <v>677</v>
      </c>
      <c r="J113" s="10" t="s">
        <v>677</v>
      </c>
      <c r="K113" s="10" t="s">
        <v>677</v>
      </c>
      <c r="L113" s="10" t="s">
        <v>677</v>
      </c>
      <c r="M113" s="10" t="s">
        <v>677</v>
      </c>
    </row>
    <row r="114" spans="1:28" ht="30" customHeight="1" x14ac:dyDescent="0.3">
      <c r="A114" s="96" t="s">
        <v>982</v>
      </c>
      <c r="B114" s="97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8"/>
      <c r="N114" s="25" t="s">
        <v>923</v>
      </c>
    </row>
    <row r="115" spans="1:28" ht="30" customHeight="1" x14ac:dyDescent="0.3">
      <c r="A115" s="10" t="s">
        <v>115</v>
      </c>
      <c r="B115" s="10" t="s">
        <v>220</v>
      </c>
      <c r="C115" s="10" t="s">
        <v>526</v>
      </c>
      <c r="D115" s="22">
        <v>0.08</v>
      </c>
      <c r="E115" s="27">
        <f>단가대비표!U42</f>
        <v>0</v>
      </c>
      <c r="F115" s="27">
        <f>ROUNDDOWN(D115*E115,2)</f>
        <v>0</v>
      </c>
      <c r="G115" s="27">
        <f>단가대비표!V42</f>
        <v>216712</v>
      </c>
      <c r="H115" s="27">
        <f>ROUNDDOWN(D115*G115,2)</f>
        <v>17336.96</v>
      </c>
      <c r="I115" s="27">
        <f>단가대비표!AE42</f>
        <v>0</v>
      </c>
      <c r="J115" s="27">
        <f>ROUNDDOWN(D115*I115,2)</f>
        <v>0</v>
      </c>
      <c r="K115" s="27">
        <f t="shared" ref="K115:L117" si="17">ROUNDDOWN(E115+G115+I115,2)</f>
        <v>216712</v>
      </c>
      <c r="L115" s="27">
        <f t="shared" si="17"/>
        <v>17336.96</v>
      </c>
      <c r="M115" s="10" t="s">
        <v>59</v>
      </c>
      <c r="N115" s="25" t="s">
        <v>923</v>
      </c>
      <c r="O115" s="7" t="s">
        <v>680</v>
      </c>
      <c r="P115" s="7" t="s">
        <v>677</v>
      </c>
      <c r="Q115" s="7" t="s">
        <v>677</v>
      </c>
      <c r="R115" s="7" t="s">
        <v>184</v>
      </c>
      <c r="S115" s="28">
        <v>10</v>
      </c>
      <c r="T115" s="7" t="s">
        <v>677</v>
      </c>
      <c r="U115" s="28">
        <v>0</v>
      </c>
      <c r="V115" s="28">
        <v>1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</row>
    <row r="116" spans="1:28" ht="30" customHeight="1" x14ac:dyDescent="0.3">
      <c r="A116" s="10" t="s">
        <v>413</v>
      </c>
      <c r="B116" s="10" t="s">
        <v>220</v>
      </c>
      <c r="C116" s="10" t="s">
        <v>526</v>
      </c>
      <c r="D116" s="22">
        <v>0.03</v>
      </c>
      <c r="E116" s="27">
        <f>단가대비표!U38</f>
        <v>0</v>
      </c>
      <c r="F116" s="27">
        <f>ROUNDDOWN(D116*E116,2)</f>
        <v>0</v>
      </c>
      <c r="G116" s="27">
        <f>단가대비표!V38</f>
        <v>192375</v>
      </c>
      <c r="H116" s="27">
        <f>ROUNDDOWN(D116*G116,2)</f>
        <v>5771.25</v>
      </c>
      <c r="I116" s="27">
        <f>단가대비표!AE38</f>
        <v>0</v>
      </c>
      <c r="J116" s="27">
        <f>ROUNDDOWN(D116*I116,2)</f>
        <v>0</v>
      </c>
      <c r="K116" s="27">
        <f t="shared" si="17"/>
        <v>192375</v>
      </c>
      <c r="L116" s="27">
        <f t="shared" si="17"/>
        <v>5771.25</v>
      </c>
      <c r="M116" s="10" t="s">
        <v>613</v>
      </c>
      <c r="N116" s="25" t="s">
        <v>923</v>
      </c>
      <c r="O116" s="7" t="s">
        <v>1041</v>
      </c>
      <c r="P116" s="7" t="s">
        <v>677</v>
      </c>
      <c r="Q116" s="7" t="s">
        <v>677</v>
      </c>
      <c r="R116" s="7" t="s">
        <v>184</v>
      </c>
      <c r="S116" s="28">
        <v>20</v>
      </c>
      <c r="T116" s="7" t="s">
        <v>677</v>
      </c>
      <c r="U116" s="28">
        <v>0</v>
      </c>
      <c r="V116" s="28">
        <v>1</v>
      </c>
      <c r="W116" s="28">
        <v>0</v>
      </c>
      <c r="X116" s="28">
        <v>0</v>
      </c>
      <c r="Y116" s="28">
        <v>0</v>
      </c>
      <c r="Z116" s="28">
        <v>0</v>
      </c>
      <c r="AA116" s="28">
        <v>0</v>
      </c>
      <c r="AB116" s="28">
        <v>0</v>
      </c>
    </row>
    <row r="117" spans="1:28" ht="30" customHeight="1" x14ac:dyDescent="0.3">
      <c r="A117" s="10" t="s">
        <v>941</v>
      </c>
      <c r="B117" s="10" t="s">
        <v>80</v>
      </c>
      <c r="C117" s="10" t="s">
        <v>104</v>
      </c>
      <c r="D117" s="22">
        <v>1</v>
      </c>
      <c r="E117" s="27">
        <f>ROUNDDOWN(SUMIF(V115:V117, RIGHTB(O117, 1), H115:H117)*U117, 2)</f>
        <v>462.16</v>
      </c>
      <c r="F117" s="27">
        <f>ROUNDDOWN(D117*E117,2)</f>
        <v>462.16</v>
      </c>
      <c r="G117" s="27">
        <v>0</v>
      </c>
      <c r="H117" s="27">
        <f>ROUNDDOWN(D117*G117,2)</f>
        <v>0</v>
      </c>
      <c r="I117" s="27">
        <v>0</v>
      </c>
      <c r="J117" s="27">
        <f>ROUNDDOWN(D117*I117,2)</f>
        <v>0</v>
      </c>
      <c r="K117" s="27">
        <f t="shared" si="17"/>
        <v>462.16</v>
      </c>
      <c r="L117" s="27">
        <f t="shared" si="17"/>
        <v>462.16</v>
      </c>
      <c r="M117" s="10"/>
      <c r="N117" s="25" t="s">
        <v>923</v>
      </c>
      <c r="O117" s="7" t="s">
        <v>459</v>
      </c>
      <c r="P117" s="7" t="s">
        <v>677</v>
      </c>
      <c r="Q117" s="7" t="s">
        <v>677</v>
      </c>
      <c r="R117" s="7" t="s">
        <v>184</v>
      </c>
      <c r="S117" s="28">
        <v>30</v>
      </c>
      <c r="T117" s="7" t="s">
        <v>477</v>
      </c>
      <c r="U117" s="28">
        <v>0.02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</row>
    <row r="118" spans="1:28" ht="30" customHeight="1" x14ac:dyDescent="0.3">
      <c r="A118" s="10" t="s">
        <v>489</v>
      </c>
      <c r="B118" s="10" t="s">
        <v>677</v>
      </c>
      <c r="C118" s="10" t="s">
        <v>677</v>
      </c>
      <c r="D118" s="10" t="s">
        <v>677</v>
      </c>
      <c r="E118" s="27">
        <v>0</v>
      </c>
      <c r="F118" s="27">
        <f>ROUNDDOWN(SUMIF(R115:R117, " ", F115:F117),0)</f>
        <v>462</v>
      </c>
      <c r="G118" s="27">
        <v>0</v>
      </c>
      <c r="H118" s="27">
        <f>ROUNDDOWN(SUMIF(R115:R117, " ", H115:H117),0)</f>
        <v>23108</v>
      </c>
      <c r="I118" s="27">
        <v>0</v>
      </c>
      <c r="J118" s="27">
        <f>ROUNDDOWN(SUMIF(R115:R117, " ", J115:J117),0)</f>
        <v>0</v>
      </c>
      <c r="K118" s="30" t="s">
        <v>677</v>
      </c>
      <c r="L118" s="27">
        <f>F118+H118+J118</f>
        <v>23570</v>
      </c>
      <c r="M118" s="10"/>
      <c r="N118" s="9" t="s">
        <v>606</v>
      </c>
      <c r="O118" s="26" t="s">
        <v>606</v>
      </c>
    </row>
    <row r="119" spans="1:28" ht="30" customHeight="1" x14ac:dyDescent="0.3">
      <c r="A119" s="10" t="s">
        <v>677</v>
      </c>
      <c r="B119" s="10" t="s">
        <v>677</v>
      </c>
      <c r="C119" s="10" t="s">
        <v>677</v>
      </c>
      <c r="D119" s="10" t="s">
        <v>677</v>
      </c>
      <c r="E119" s="10" t="s">
        <v>677</v>
      </c>
      <c r="F119" s="10" t="s">
        <v>677</v>
      </c>
      <c r="G119" s="10" t="s">
        <v>677</v>
      </c>
      <c r="H119" s="10" t="s">
        <v>677</v>
      </c>
      <c r="I119" s="10" t="s">
        <v>677</v>
      </c>
      <c r="J119" s="10" t="s">
        <v>677</v>
      </c>
      <c r="K119" s="10" t="s">
        <v>677</v>
      </c>
      <c r="L119" s="10" t="s">
        <v>677</v>
      </c>
      <c r="M119" s="10" t="s">
        <v>677</v>
      </c>
    </row>
    <row r="120" spans="1:28" ht="30" customHeight="1" x14ac:dyDescent="0.3">
      <c r="A120" s="96" t="s">
        <v>703</v>
      </c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8"/>
      <c r="N120" s="25" t="s">
        <v>158</v>
      </c>
    </row>
    <row r="121" spans="1:28" ht="30" customHeight="1" x14ac:dyDescent="0.3">
      <c r="A121" s="10" t="s">
        <v>499</v>
      </c>
      <c r="B121" s="10" t="s">
        <v>220</v>
      </c>
      <c r="C121" s="10" t="s">
        <v>526</v>
      </c>
      <c r="D121" s="22">
        <v>0.04</v>
      </c>
      <c r="E121" s="27">
        <f>단가대비표!U43</f>
        <v>0</v>
      </c>
      <c r="F121" s="27">
        <f>ROUNDDOWN(D121*E121,2)</f>
        <v>0</v>
      </c>
      <c r="G121" s="27">
        <f>단가대비표!V43</f>
        <v>238739</v>
      </c>
      <c r="H121" s="27">
        <f>ROUNDDOWN(D121*G121,2)</f>
        <v>9549.56</v>
      </c>
      <c r="I121" s="27">
        <f>단가대비표!AE43</f>
        <v>0</v>
      </c>
      <c r="J121" s="27">
        <f>ROUNDDOWN(D121*I121,2)</f>
        <v>0</v>
      </c>
      <c r="K121" s="27">
        <f t="shared" ref="K121:L124" si="18">ROUNDDOWN(E121+G121+I121,2)</f>
        <v>238739</v>
      </c>
      <c r="L121" s="27">
        <f t="shared" si="18"/>
        <v>9549.56</v>
      </c>
      <c r="M121" s="10" t="s">
        <v>591</v>
      </c>
      <c r="N121" s="25" t="s">
        <v>158</v>
      </c>
      <c r="O121" s="7" t="s">
        <v>899</v>
      </c>
      <c r="P121" s="7" t="s">
        <v>677</v>
      </c>
      <c r="Q121" s="7" t="s">
        <v>677</v>
      </c>
      <c r="R121" s="7" t="s">
        <v>184</v>
      </c>
      <c r="S121" s="28">
        <v>10</v>
      </c>
      <c r="T121" s="7" t="s">
        <v>677</v>
      </c>
      <c r="U121" s="28">
        <v>0</v>
      </c>
      <c r="V121" s="28">
        <v>1</v>
      </c>
      <c r="W121" s="28">
        <v>0</v>
      </c>
      <c r="X121" s="28">
        <v>0</v>
      </c>
      <c r="Y121" s="28">
        <v>0</v>
      </c>
      <c r="Z121" s="28">
        <v>0</v>
      </c>
      <c r="AA121" s="28">
        <v>0</v>
      </c>
      <c r="AB121" s="28">
        <v>0</v>
      </c>
    </row>
    <row r="122" spans="1:28" ht="30" customHeight="1" x14ac:dyDescent="0.3">
      <c r="A122" s="10" t="s">
        <v>941</v>
      </c>
      <c r="B122" s="10" t="s">
        <v>281</v>
      </c>
      <c r="C122" s="10" t="s">
        <v>104</v>
      </c>
      <c r="D122" s="22">
        <v>1</v>
      </c>
      <c r="E122" s="27">
        <f>ROUNDDOWN(SUMIF(V121:V124, RIGHTB(O122, 1), H121:H124)*U122, 2)</f>
        <v>381.98</v>
      </c>
      <c r="F122" s="27">
        <f>ROUNDDOWN(D122*E122,2)</f>
        <v>381.98</v>
      </c>
      <c r="G122" s="27">
        <v>0</v>
      </c>
      <c r="H122" s="27">
        <f>ROUNDDOWN(D122*G122,2)</f>
        <v>0</v>
      </c>
      <c r="I122" s="27">
        <v>0</v>
      </c>
      <c r="J122" s="27">
        <f>ROUNDDOWN(D122*I122,2)</f>
        <v>0</v>
      </c>
      <c r="K122" s="27">
        <f t="shared" si="18"/>
        <v>381.98</v>
      </c>
      <c r="L122" s="27">
        <f t="shared" si="18"/>
        <v>381.98</v>
      </c>
      <c r="M122" s="10"/>
      <c r="N122" s="25" t="s">
        <v>158</v>
      </c>
      <c r="O122" s="7" t="s">
        <v>459</v>
      </c>
      <c r="P122" s="7" t="s">
        <v>677</v>
      </c>
      <c r="Q122" s="7" t="s">
        <v>677</v>
      </c>
      <c r="R122" s="7" t="s">
        <v>184</v>
      </c>
      <c r="S122" s="28">
        <v>20</v>
      </c>
      <c r="T122" s="7" t="s">
        <v>819</v>
      </c>
      <c r="U122" s="28">
        <v>0.04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</row>
    <row r="123" spans="1:28" ht="30" customHeight="1" x14ac:dyDescent="0.3">
      <c r="A123" s="10" t="s">
        <v>619</v>
      </c>
      <c r="B123" s="10" t="s">
        <v>22</v>
      </c>
      <c r="C123" s="10" t="s">
        <v>961</v>
      </c>
      <c r="D123" s="22">
        <v>0.28000000000000003</v>
      </c>
      <c r="E123" s="27">
        <f>단가대비표!U12</f>
        <v>0</v>
      </c>
      <c r="F123" s="27">
        <f>ROUNDDOWN(D123*E123,2)</f>
        <v>0</v>
      </c>
      <c r="G123" s="27">
        <f>단가대비표!V12</f>
        <v>0</v>
      </c>
      <c r="H123" s="27">
        <f>ROUNDDOWN(D123*G123,2)</f>
        <v>0</v>
      </c>
      <c r="I123" s="27">
        <f>단가대비표!AE12</f>
        <v>0</v>
      </c>
      <c r="J123" s="27">
        <f>ROUNDDOWN(D123*I123,2)</f>
        <v>0</v>
      </c>
      <c r="K123" s="27">
        <f t="shared" si="18"/>
        <v>0</v>
      </c>
      <c r="L123" s="27">
        <f t="shared" si="18"/>
        <v>0</v>
      </c>
      <c r="M123" s="10" t="s">
        <v>28</v>
      </c>
      <c r="N123" s="25" t="s">
        <v>158</v>
      </c>
      <c r="O123" s="7" t="s">
        <v>1033</v>
      </c>
      <c r="P123" s="7" t="s">
        <v>677</v>
      </c>
      <c r="Q123" s="7" t="s">
        <v>677</v>
      </c>
      <c r="R123" s="7" t="s">
        <v>184</v>
      </c>
      <c r="S123" s="28">
        <v>30</v>
      </c>
      <c r="T123" s="7" t="s">
        <v>677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0</v>
      </c>
      <c r="AA123" s="28">
        <v>0</v>
      </c>
      <c r="AB123" s="28">
        <v>0</v>
      </c>
    </row>
    <row r="124" spans="1:28" ht="30" customHeight="1" x14ac:dyDescent="0.3">
      <c r="A124" s="10" t="s">
        <v>323</v>
      </c>
      <c r="B124" s="10" t="s">
        <v>323</v>
      </c>
      <c r="C124" s="10" t="s">
        <v>961</v>
      </c>
      <c r="D124" s="22">
        <v>0.14000000000000001</v>
      </c>
      <c r="E124" s="27">
        <f>단가대비표!U9</f>
        <v>0</v>
      </c>
      <c r="F124" s="27">
        <f>ROUNDDOWN(D124*E124,2)</f>
        <v>0</v>
      </c>
      <c r="G124" s="27">
        <f>단가대비표!V9</f>
        <v>0</v>
      </c>
      <c r="H124" s="27">
        <f>ROUNDDOWN(D124*G124,2)</f>
        <v>0</v>
      </c>
      <c r="I124" s="27">
        <f>단가대비표!AE9</f>
        <v>0</v>
      </c>
      <c r="J124" s="27">
        <f>ROUNDDOWN(D124*I124,2)</f>
        <v>0</v>
      </c>
      <c r="K124" s="27">
        <f t="shared" si="18"/>
        <v>0</v>
      </c>
      <c r="L124" s="27">
        <f t="shared" si="18"/>
        <v>0</v>
      </c>
      <c r="M124" s="10" t="s">
        <v>212</v>
      </c>
      <c r="N124" s="25" t="s">
        <v>158</v>
      </c>
      <c r="O124" s="7" t="s">
        <v>239</v>
      </c>
      <c r="P124" s="7" t="s">
        <v>677</v>
      </c>
      <c r="Q124" s="7" t="s">
        <v>677</v>
      </c>
      <c r="R124" s="7" t="s">
        <v>184</v>
      </c>
      <c r="S124" s="28">
        <v>40</v>
      </c>
      <c r="T124" s="7" t="s">
        <v>677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</row>
    <row r="125" spans="1:28" ht="30" customHeight="1" x14ac:dyDescent="0.3">
      <c r="A125" s="10" t="s">
        <v>489</v>
      </c>
      <c r="B125" s="10" t="s">
        <v>677</v>
      </c>
      <c r="C125" s="10" t="s">
        <v>677</v>
      </c>
      <c r="D125" s="10" t="s">
        <v>677</v>
      </c>
      <c r="E125" s="27">
        <v>0</v>
      </c>
      <c r="F125" s="27">
        <f>ROUNDDOWN(SUMIF(R121:R124, " ", F121:F124),0)</f>
        <v>381</v>
      </c>
      <c r="G125" s="27">
        <v>0</v>
      </c>
      <c r="H125" s="27">
        <f>ROUNDDOWN(SUMIF(R121:R124, " ", H121:H124),0)</f>
        <v>9549</v>
      </c>
      <c r="I125" s="27">
        <v>0</v>
      </c>
      <c r="J125" s="27">
        <f>ROUNDDOWN(SUMIF(R121:R124, " ", J121:J124),0)</f>
        <v>0</v>
      </c>
      <c r="K125" s="30" t="s">
        <v>677</v>
      </c>
      <c r="L125" s="27">
        <f>F125+H125+J125</f>
        <v>9930</v>
      </c>
      <c r="M125" s="10"/>
      <c r="N125" s="9" t="s">
        <v>606</v>
      </c>
      <c r="O125" s="26" t="s">
        <v>606</v>
      </c>
    </row>
    <row r="126" spans="1:28" ht="30" customHeight="1" x14ac:dyDescent="0.3">
      <c r="A126" s="10" t="s">
        <v>677</v>
      </c>
      <c r="B126" s="10" t="s">
        <v>677</v>
      </c>
      <c r="C126" s="10" t="s">
        <v>677</v>
      </c>
      <c r="D126" s="10" t="s">
        <v>677</v>
      </c>
      <c r="E126" s="10" t="s">
        <v>677</v>
      </c>
      <c r="F126" s="10" t="s">
        <v>677</v>
      </c>
      <c r="G126" s="10" t="s">
        <v>677</v>
      </c>
      <c r="H126" s="10" t="s">
        <v>677</v>
      </c>
      <c r="I126" s="10" t="s">
        <v>677</v>
      </c>
      <c r="J126" s="10" t="s">
        <v>677</v>
      </c>
      <c r="K126" s="10" t="s">
        <v>677</v>
      </c>
      <c r="L126" s="10" t="s">
        <v>677</v>
      </c>
      <c r="M126" s="10" t="s">
        <v>677</v>
      </c>
    </row>
    <row r="127" spans="1:28" ht="30" customHeight="1" x14ac:dyDescent="0.3">
      <c r="A127" s="96" t="s">
        <v>24</v>
      </c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8"/>
      <c r="N127" s="25" t="s">
        <v>215</v>
      </c>
    </row>
    <row r="128" spans="1:28" ht="30" customHeight="1" x14ac:dyDescent="0.3">
      <c r="A128" s="10" t="s">
        <v>431</v>
      </c>
      <c r="B128" s="10" t="s">
        <v>220</v>
      </c>
      <c r="C128" s="10" t="s">
        <v>526</v>
      </c>
      <c r="D128" s="22">
        <v>0.16</v>
      </c>
      <c r="E128" s="27">
        <f>단가대비표!U46</f>
        <v>0</v>
      </c>
      <c r="F128" s="27">
        <f t="shared" ref="F128:F134" si="19">ROUNDDOWN(D128*E128,2)</f>
        <v>0</v>
      </c>
      <c r="G128" s="27">
        <f>단가대비표!V46</f>
        <v>233781</v>
      </c>
      <c r="H128" s="27">
        <f t="shared" ref="H128:H134" si="20">ROUNDDOWN(D128*G128,2)</f>
        <v>37404.959999999999</v>
      </c>
      <c r="I128" s="27">
        <f>단가대비표!AE46</f>
        <v>0</v>
      </c>
      <c r="J128" s="27">
        <f t="shared" ref="J128:J134" si="21">ROUNDDOWN(D128*I128,2)</f>
        <v>0</v>
      </c>
      <c r="K128" s="27">
        <f t="shared" ref="K128:L134" si="22">ROUNDDOWN(E128+G128+I128,2)</f>
        <v>233781</v>
      </c>
      <c r="L128" s="27">
        <f t="shared" si="22"/>
        <v>37404.959999999999</v>
      </c>
      <c r="M128" s="10" t="s">
        <v>289</v>
      </c>
      <c r="N128" s="25" t="s">
        <v>215</v>
      </c>
      <c r="O128" s="7" t="s">
        <v>89</v>
      </c>
      <c r="P128" s="7" t="s">
        <v>677</v>
      </c>
      <c r="Q128" s="7" t="s">
        <v>677</v>
      </c>
      <c r="R128" s="7" t="s">
        <v>184</v>
      </c>
      <c r="S128" s="28">
        <v>10</v>
      </c>
      <c r="T128" s="7" t="s">
        <v>677</v>
      </c>
      <c r="U128" s="28">
        <v>0</v>
      </c>
      <c r="V128" s="28">
        <v>1</v>
      </c>
      <c r="W128" s="28">
        <v>0</v>
      </c>
      <c r="X128" s="28">
        <v>0</v>
      </c>
      <c r="Y128" s="28">
        <v>0</v>
      </c>
      <c r="Z128" s="28">
        <v>0</v>
      </c>
      <c r="AA128" s="28">
        <v>0</v>
      </c>
      <c r="AB128" s="28">
        <v>0</v>
      </c>
    </row>
    <row r="129" spans="1:28" ht="30" customHeight="1" x14ac:dyDescent="0.3">
      <c r="A129" s="10" t="s">
        <v>977</v>
      </c>
      <c r="B129" s="10" t="s">
        <v>220</v>
      </c>
      <c r="C129" s="10" t="s">
        <v>526</v>
      </c>
      <c r="D129" s="22">
        <v>0.06</v>
      </c>
      <c r="E129" s="27">
        <f>단가대비표!U37</f>
        <v>0</v>
      </c>
      <c r="F129" s="27">
        <f t="shared" si="19"/>
        <v>0</v>
      </c>
      <c r="G129" s="27">
        <f>단가대비표!V37</f>
        <v>153671</v>
      </c>
      <c r="H129" s="27">
        <f t="shared" si="20"/>
        <v>9220.26</v>
      </c>
      <c r="I129" s="27">
        <f>단가대비표!AE37</f>
        <v>0</v>
      </c>
      <c r="J129" s="27">
        <f t="shared" si="21"/>
        <v>0</v>
      </c>
      <c r="K129" s="27">
        <f t="shared" si="22"/>
        <v>153671</v>
      </c>
      <c r="L129" s="27">
        <f t="shared" si="22"/>
        <v>9220.26</v>
      </c>
      <c r="M129" s="10" t="s">
        <v>122</v>
      </c>
      <c r="N129" s="25" t="s">
        <v>215</v>
      </c>
      <c r="O129" s="7" t="s">
        <v>43</v>
      </c>
      <c r="P129" s="7" t="s">
        <v>677</v>
      </c>
      <c r="Q129" s="7" t="s">
        <v>677</v>
      </c>
      <c r="R129" s="7" t="s">
        <v>184</v>
      </c>
      <c r="S129" s="28">
        <v>20</v>
      </c>
      <c r="T129" s="7" t="s">
        <v>677</v>
      </c>
      <c r="U129" s="28">
        <v>0</v>
      </c>
      <c r="V129" s="28">
        <v>1</v>
      </c>
      <c r="W129" s="28">
        <v>0</v>
      </c>
      <c r="X129" s="28">
        <v>0</v>
      </c>
      <c r="Y129" s="28">
        <v>0</v>
      </c>
      <c r="Z129" s="28">
        <v>0</v>
      </c>
      <c r="AA129" s="28">
        <v>0</v>
      </c>
      <c r="AB129" s="28">
        <v>0</v>
      </c>
    </row>
    <row r="130" spans="1:28" ht="30" customHeight="1" x14ac:dyDescent="0.3">
      <c r="A130" s="10" t="s">
        <v>884</v>
      </c>
      <c r="B130" s="10" t="s">
        <v>220</v>
      </c>
      <c r="C130" s="10" t="s">
        <v>526</v>
      </c>
      <c r="D130" s="22">
        <v>0.05</v>
      </c>
      <c r="E130" s="27">
        <f>단가대비표!U49</f>
        <v>0</v>
      </c>
      <c r="F130" s="27">
        <f t="shared" si="19"/>
        <v>0</v>
      </c>
      <c r="G130" s="27">
        <f>단가대비표!V49</f>
        <v>181682</v>
      </c>
      <c r="H130" s="27">
        <f t="shared" si="20"/>
        <v>9084.1</v>
      </c>
      <c r="I130" s="27">
        <f>단가대비표!AE49</f>
        <v>0</v>
      </c>
      <c r="J130" s="27">
        <f t="shared" si="21"/>
        <v>0</v>
      </c>
      <c r="K130" s="27">
        <f t="shared" si="22"/>
        <v>181682</v>
      </c>
      <c r="L130" s="27">
        <f t="shared" si="22"/>
        <v>9084.1</v>
      </c>
      <c r="M130" s="10" t="s">
        <v>442</v>
      </c>
      <c r="N130" s="25" t="s">
        <v>215</v>
      </c>
      <c r="O130" s="7" t="s">
        <v>760</v>
      </c>
      <c r="P130" s="7" t="s">
        <v>677</v>
      </c>
      <c r="Q130" s="7" t="s">
        <v>677</v>
      </c>
      <c r="R130" s="7" t="s">
        <v>184</v>
      </c>
      <c r="S130" s="28">
        <v>30</v>
      </c>
      <c r="T130" s="7" t="s">
        <v>677</v>
      </c>
      <c r="U130" s="28">
        <v>0</v>
      </c>
      <c r="V130" s="28">
        <v>1</v>
      </c>
      <c r="W130" s="28">
        <v>0</v>
      </c>
      <c r="X130" s="28">
        <v>0</v>
      </c>
      <c r="Y130" s="28">
        <v>0</v>
      </c>
      <c r="Z130" s="28">
        <v>0</v>
      </c>
      <c r="AA130" s="28">
        <v>0</v>
      </c>
      <c r="AB130" s="28">
        <v>0</v>
      </c>
    </row>
    <row r="131" spans="1:28" ht="30" customHeight="1" x14ac:dyDescent="0.3">
      <c r="A131" s="10" t="s">
        <v>941</v>
      </c>
      <c r="B131" s="10" t="s">
        <v>80</v>
      </c>
      <c r="C131" s="10" t="s">
        <v>104</v>
      </c>
      <c r="D131" s="22">
        <v>1</v>
      </c>
      <c r="E131" s="27">
        <f>ROUNDDOWN(SUMIF(V128:V134, RIGHTB(O131, 1), H128:H134)*U131, 2)</f>
        <v>1114.18</v>
      </c>
      <c r="F131" s="27">
        <f t="shared" si="19"/>
        <v>1114.18</v>
      </c>
      <c r="G131" s="27">
        <v>0</v>
      </c>
      <c r="H131" s="27">
        <f t="shared" si="20"/>
        <v>0</v>
      </c>
      <c r="I131" s="27">
        <v>0</v>
      </c>
      <c r="J131" s="27">
        <f t="shared" si="21"/>
        <v>0</v>
      </c>
      <c r="K131" s="27">
        <f t="shared" si="22"/>
        <v>1114.18</v>
      </c>
      <c r="L131" s="27">
        <f t="shared" si="22"/>
        <v>1114.18</v>
      </c>
      <c r="M131" s="10"/>
      <c r="N131" s="25" t="s">
        <v>215</v>
      </c>
      <c r="O131" s="7" t="s">
        <v>459</v>
      </c>
      <c r="P131" s="7" t="s">
        <v>677</v>
      </c>
      <c r="Q131" s="7" t="s">
        <v>677</v>
      </c>
      <c r="R131" s="7" t="s">
        <v>184</v>
      </c>
      <c r="S131" s="28">
        <v>40</v>
      </c>
      <c r="T131" s="7" t="s">
        <v>528</v>
      </c>
      <c r="U131" s="28">
        <v>0.02</v>
      </c>
      <c r="V131" s="28">
        <v>0</v>
      </c>
      <c r="W131" s="28">
        <v>0</v>
      </c>
      <c r="X131" s="28">
        <v>0</v>
      </c>
      <c r="Y131" s="28">
        <v>0</v>
      </c>
      <c r="Z131" s="28">
        <v>0</v>
      </c>
      <c r="AA131" s="28">
        <v>0</v>
      </c>
      <c r="AB131" s="28">
        <v>0</v>
      </c>
    </row>
    <row r="132" spans="1:28" ht="30" customHeight="1" x14ac:dyDescent="0.3">
      <c r="A132" s="10" t="s">
        <v>822</v>
      </c>
      <c r="B132" s="10" t="s">
        <v>424</v>
      </c>
      <c r="C132" s="10" t="s">
        <v>439</v>
      </c>
      <c r="D132" s="22">
        <v>75</v>
      </c>
      <c r="E132" s="27">
        <f>단가대비표!U21</f>
        <v>345</v>
      </c>
      <c r="F132" s="27">
        <f t="shared" si="19"/>
        <v>25875</v>
      </c>
      <c r="G132" s="27">
        <f>단가대비표!V21</f>
        <v>0</v>
      </c>
      <c r="H132" s="27">
        <f t="shared" si="20"/>
        <v>0</v>
      </c>
      <c r="I132" s="27">
        <f>단가대비표!AE21</f>
        <v>0</v>
      </c>
      <c r="J132" s="27">
        <f t="shared" si="21"/>
        <v>0</v>
      </c>
      <c r="K132" s="27">
        <f t="shared" si="22"/>
        <v>345</v>
      </c>
      <c r="L132" s="27">
        <f t="shared" si="22"/>
        <v>25875</v>
      </c>
      <c r="M132" s="10" t="s">
        <v>157</v>
      </c>
      <c r="N132" s="25" t="s">
        <v>215</v>
      </c>
      <c r="O132" s="7" t="s">
        <v>575</v>
      </c>
      <c r="P132" s="7" t="s">
        <v>677</v>
      </c>
      <c r="Q132" s="7" t="s">
        <v>677</v>
      </c>
      <c r="R132" s="7" t="s">
        <v>184</v>
      </c>
      <c r="S132" s="28">
        <v>50</v>
      </c>
      <c r="T132" s="7" t="s">
        <v>677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8">
        <v>0</v>
      </c>
      <c r="AB132" s="28">
        <v>0</v>
      </c>
    </row>
    <row r="133" spans="1:28" ht="30" customHeight="1" x14ac:dyDescent="0.3">
      <c r="A133" s="10" t="s">
        <v>302</v>
      </c>
      <c r="B133" s="10" t="s">
        <v>303</v>
      </c>
      <c r="C133" s="10" t="s">
        <v>71</v>
      </c>
      <c r="D133" s="22">
        <v>1.9E-2</v>
      </c>
      <c r="E133" s="27">
        <f>일위대가목록!E52</f>
        <v>0</v>
      </c>
      <c r="F133" s="27">
        <f t="shared" si="19"/>
        <v>0</v>
      </c>
      <c r="G133" s="27">
        <f>일위대가목록!F52</f>
        <v>101422</v>
      </c>
      <c r="H133" s="27">
        <f t="shared" si="20"/>
        <v>1927.01</v>
      </c>
      <c r="I133" s="27">
        <f>일위대가목록!G52</f>
        <v>0</v>
      </c>
      <c r="J133" s="27">
        <f t="shared" si="21"/>
        <v>0</v>
      </c>
      <c r="K133" s="27">
        <f t="shared" si="22"/>
        <v>101422</v>
      </c>
      <c r="L133" s="27">
        <f t="shared" si="22"/>
        <v>1927.01</v>
      </c>
      <c r="M133" s="10" t="s">
        <v>278</v>
      </c>
      <c r="N133" s="25" t="s">
        <v>215</v>
      </c>
      <c r="O133" s="7" t="s">
        <v>885</v>
      </c>
      <c r="P133" s="7" t="s">
        <v>677</v>
      </c>
      <c r="Q133" s="7" t="s">
        <v>677</v>
      </c>
      <c r="R133" s="7" t="s">
        <v>184</v>
      </c>
      <c r="S133" s="28">
        <v>60</v>
      </c>
      <c r="T133" s="7" t="s">
        <v>677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</row>
    <row r="134" spans="1:28" ht="30" customHeight="1" x14ac:dyDescent="0.3">
      <c r="A134" s="10" t="s">
        <v>302</v>
      </c>
      <c r="B134" s="10" t="s">
        <v>852</v>
      </c>
      <c r="C134" s="10" t="s">
        <v>71</v>
      </c>
      <c r="D134" s="22">
        <v>3.0000000000000001E-3</v>
      </c>
      <c r="E134" s="27">
        <f>일위대가목록!E51</f>
        <v>0</v>
      </c>
      <c r="F134" s="27">
        <f t="shared" si="19"/>
        <v>0</v>
      </c>
      <c r="G134" s="27">
        <f>일위대가목록!F51</f>
        <v>101422</v>
      </c>
      <c r="H134" s="27">
        <f t="shared" si="20"/>
        <v>304.26</v>
      </c>
      <c r="I134" s="27">
        <f>일위대가목록!G51</f>
        <v>0</v>
      </c>
      <c r="J134" s="27">
        <f t="shared" si="21"/>
        <v>0</v>
      </c>
      <c r="K134" s="27">
        <f t="shared" si="22"/>
        <v>101422</v>
      </c>
      <c r="L134" s="27">
        <f t="shared" si="22"/>
        <v>304.26</v>
      </c>
      <c r="M134" s="10" t="s">
        <v>106</v>
      </c>
      <c r="N134" s="25" t="s">
        <v>215</v>
      </c>
      <c r="O134" s="7" t="s">
        <v>653</v>
      </c>
      <c r="P134" s="7" t="s">
        <v>677</v>
      </c>
      <c r="Q134" s="7" t="s">
        <v>677</v>
      </c>
      <c r="R134" s="7" t="s">
        <v>184</v>
      </c>
      <c r="S134" s="28">
        <v>70</v>
      </c>
      <c r="T134" s="7" t="s">
        <v>677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</row>
    <row r="135" spans="1:28" ht="30" customHeight="1" x14ac:dyDescent="0.3">
      <c r="A135" s="10" t="s">
        <v>489</v>
      </c>
      <c r="B135" s="10" t="s">
        <v>677</v>
      </c>
      <c r="C135" s="10" t="s">
        <v>677</v>
      </c>
      <c r="D135" s="10" t="s">
        <v>677</v>
      </c>
      <c r="E135" s="27">
        <v>0</v>
      </c>
      <c r="F135" s="27">
        <f>ROUNDDOWN(SUMIF(R128:R134, " ", F128:F134),0)</f>
        <v>26989</v>
      </c>
      <c r="G135" s="27">
        <v>0</v>
      </c>
      <c r="H135" s="27">
        <f>ROUNDDOWN(SUMIF(R128:R134, " ", H128:H134),0)</f>
        <v>57940</v>
      </c>
      <c r="I135" s="27">
        <v>0</v>
      </c>
      <c r="J135" s="27">
        <f>ROUNDDOWN(SUMIF(R128:R134, " ", J128:J134),0)</f>
        <v>0</v>
      </c>
      <c r="K135" s="30" t="s">
        <v>677</v>
      </c>
      <c r="L135" s="27">
        <f>F135+H135+J135</f>
        <v>84929</v>
      </c>
      <c r="M135" s="10"/>
      <c r="N135" s="9" t="s">
        <v>606</v>
      </c>
      <c r="O135" s="26" t="s">
        <v>606</v>
      </c>
    </row>
    <row r="136" spans="1:28" ht="30" customHeight="1" x14ac:dyDescent="0.3">
      <c r="A136" s="10" t="s">
        <v>677</v>
      </c>
      <c r="B136" s="10" t="s">
        <v>677</v>
      </c>
      <c r="C136" s="10" t="s">
        <v>677</v>
      </c>
      <c r="D136" s="10" t="s">
        <v>677</v>
      </c>
      <c r="E136" s="10" t="s">
        <v>677</v>
      </c>
      <c r="F136" s="10" t="s">
        <v>677</v>
      </c>
      <c r="G136" s="10" t="s">
        <v>677</v>
      </c>
      <c r="H136" s="10" t="s">
        <v>677</v>
      </c>
      <c r="I136" s="10" t="s">
        <v>677</v>
      </c>
      <c r="J136" s="10" t="s">
        <v>677</v>
      </c>
      <c r="K136" s="10" t="s">
        <v>677</v>
      </c>
      <c r="L136" s="10" t="s">
        <v>677</v>
      </c>
      <c r="M136" s="10" t="s">
        <v>677</v>
      </c>
    </row>
    <row r="137" spans="1:28" ht="30" customHeight="1" x14ac:dyDescent="0.3">
      <c r="A137" s="96" t="s">
        <v>1195</v>
      </c>
      <c r="B137" s="97"/>
      <c r="C137" s="97"/>
      <c r="D137" s="97"/>
      <c r="E137" s="97"/>
      <c r="F137" s="97"/>
      <c r="G137" s="97"/>
      <c r="H137" s="97"/>
      <c r="I137" s="97"/>
      <c r="J137" s="97"/>
      <c r="K137" s="97"/>
      <c r="L137" s="97"/>
      <c r="M137" s="98"/>
      <c r="N137" s="25" t="s">
        <v>1192</v>
      </c>
    </row>
    <row r="138" spans="1:28" ht="30" customHeight="1" x14ac:dyDescent="0.3">
      <c r="A138" s="10" t="s">
        <v>413</v>
      </c>
      <c r="B138" s="10" t="s">
        <v>220</v>
      </c>
      <c r="C138" s="10" t="s">
        <v>526</v>
      </c>
      <c r="D138" s="22">
        <v>0.14000000000000001</v>
      </c>
      <c r="E138" s="27">
        <f>단가대비표!U38</f>
        <v>0</v>
      </c>
      <c r="F138" s="27">
        <f>ROUNDDOWN(D138*E138,2)</f>
        <v>0</v>
      </c>
      <c r="G138" s="27">
        <f>단가대비표!V38</f>
        <v>192375</v>
      </c>
      <c r="H138" s="27">
        <f>ROUNDDOWN(D138*G138,2)</f>
        <v>26932.5</v>
      </c>
      <c r="I138" s="27">
        <f>단가대비표!AE38</f>
        <v>0</v>
      </c>
      <c r="J138" s="27">
        <f>ROUNDDOWN(D138*I138,2)</f>
        <v>0</v>
      </c>
      <c r="K138" s="27">
        <f t="shared" ref="K138:L140" si="23">ROUNDDOWN(E138+G138+I138,2)</f>
        <v>192375</v>
      </c>
      <c r="L138" s="27">
        <f t="shared" si="23"/>
        <v>26932.5</v>
      </c>
      <c r="M138" s="10" t="s">
        <v>613</v>
      </c>
      <c r="N138" s="25" t="s">
        <v>1192</v>
      </c>
      <c r="O138" s="7" t="s">
        <v>1041</v>
      </c>
      <c r="P138" s="7" t="s">
        <v>677</v>
      </c>
      <c r="Q138" s="7" t="s">
        <v>677</v>
      </c>
      <c r="R138" s="7" t="s">
        <v>184</v>
      </c>
      <c r="S138" s="28">
        <v>10</v>
      </c>
      <c r="T138" s="7" t="s">
        <v>1193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8">
        <v>0</v>
      </c>
      <c r="AB138" s="28">
        <v>0</v>
      </c>
    </row>
    <row r="139" spans="1:28" ht="30" customHeight="1" x14ac:dyDescent="0.3">
      <c r="A139" s="10" t="s">
        <v>1203</v>
      </c>
      <c r="B139" s="10" t="s">
        <v>1204</v>
      </c>
      <c r="C139" s="10" t="s">
        <v>1205</v>
      </c>
      <c r="D139" s="22">
        <v>0.28000000000000003</v>
      </c>
      <c r="E139" s="27"/>
      <c r="F139" s="27"/>
      <c r="G139" s="27">
        <f>단가대비표!V37</f>
        <v>153671</v>
      </c>
      <c r="H139" s="27">
        <f>ROUNDDOWN(D139*G139,2)</f>
        <v>43027.88</v>
      </c>
      <c r="I139" s="27">
        <f>단가대비표!AE39</f>
        <v>0</v>
      </c>
      <c r="J139" s="27">
        <f>ROUNDDOWN(D139*I139,2)</f>
        <v>0</v>
      </c>
      <c r="K139" s="27">
        <f t="shared" si="23"/>
        <v>153671</v>
      </c>
      <c r="L139" s="27">
        <f t="shared" si="23"/>
        <v>43027.88</v>
      </c>
      <c r="M139" s="10" t="s">
        <v>1206</v>
      </c>
      <c r="N139" s="25"/>
      <c r="O139" s="7"/>
      <c r="P139" s="7"/>
      <c r="Q139" s="7"/>
      <c r="R139" s="7"/>
      <c r="S139" s="28"/>
      <c r="T139" s="7"/>
      <c r="U139" s="28"/>
      <c r="V139" s="28"/>
      <c r="W139" s="28"/>
      <c r="X139" s="28"/>
      <c r="Y139" s="28"/>
      <c r="Z139" s="28"/>
      <c r="AA139" s="28"/>
      <c r="AB139" s="28"/>
    </row>
    <row r="140" spans="1:28" ht="30" customHeight="1" x14ac:dyDescent="0.3">
      <c r="A140" s="10" t="s">
        <v>1179</v>
      </c>
      <c r="B140" s="10" t="s">
        <v>1190</v>
      </c>
      <c r="C140" s="10" t="s">
        <v>249</v>
      </c>
      <c r="D140" s="22">
        <v>0.4</v>
      </c>
      <c r="E140" s="27">
        <f>일위대가목록!E46</f>
        <v>10849</v>
      </c>
      <c r="F140" s="27">
        <f>ROUNDDOWN(D140*E140,2)</f>
        <v>4339.6000000000004</v>
      </c>
      <c r="G140" s="27">
        <f>일위대가목록!F46</f>
        <v>40000</v>
      </c>
      <c r="H140" s="27">
        <f>ROUNDDOWN(D140*G140,2)</f>
        <v>16000</v>
      </c>
      <c r="I140" s="27">
        <f>일위대가목록!G46</f>
        <v>9596</v>
      </c>
      <c r="J140" s="27">
        <f>ROUNDDOWN(D140*I140,2)</f>
        <v>3838.4</v>
      </c>
      <c r="K140" s="27">
        <f t="shared" si="23"/>
        <v>60445</v>
      </c>
      <c r="L140" s="27">
        <f t="shared" si="23"/>
        <v>24178</v>
      </c>
      <c r="M140" s="10" t="s">
        <v>186</v>
      </c>
      <c r="N140" s="25" t="s">
        <v>1192</v>
      </c>
      <c r="O140" s="7" t="s">
        <v>1182</v>
      </c>
      <c r="P140" s="7" t="s">
        <v>677</v>
      </c>
      <c r="Q140" s="7" t="s">
        <v>677</v>
      </c>
      <c r="R140" s="7" t="s">
        <v>184</v>
      </c>
      <c r="S140" s="28">
        <v>30</v>
      </c>
      <c r="T140" s="7" t="s">
        <v>1194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0</v>
      </c>
      <c r="AA140" s="28">
        <v>0</v>
      </c>
      <c r="AB140" s="28">
        <v>0</v>
      </c>
    </row>
    <row r="141" spans="1:28" ht="30" customHeight="1" x14ac:dyDescent="0.3">
      <c r="A141" s="10" t="s">
        <v>489</v>
      </c>
      <c r="B141" s="10" t="s">
        <v>677</v>
      </c>
      <c r="C141" s="10" t="s">
        <v>677</v>
      </c>
      <c r="D141" s="10" t="s">
        <v>677</v>
      </c>
      <c r="E141" s="27">
        <v>0</v>
      </c>
      <c r="F141" s="27">
        <f>ROUNDDOWN(SUMIF(R138:R140, " ", F138:F140),0)</f>
        <v>4339</v>
      </c>
      <c r="G141" s="27">
        <v>0</v>
      </c>
      <c r="H141" s="27">
        <f>ROUNDDOWN(SUMIF(R138:R140, " ", H138:H140),0)</f>
        <v>42932</v>
      </c>
      <c r="I141" s="27">
        <v>0</v>
      </c>
      <c r="J141" s="27">
        <f>ROUNDDOWN(SUMIF(R138:R140, " ", J138:J140),0)</f>
        <v>3838</v>
      </c>
      <c r="K141" s="30" t="s">
        <v>677</v>
      </c>
      <c r="L141" s="27">
        <f>F141+H141+J141</f>
        <v>51109</v>
      </c>
      <c r="M141" s="10"/>
      <c r="N141" s="9" t="s">
        <v>606</v>
      </c>
      <c r="O141" s="26" t="s">
        <v>606</v>
      </c>
    </row>
    <row r="142" spans="1:28" ht="30" customHeight="1" x14ac:dyDescent="0.3">
      <c r="A142" s="10" t="s">
        <v>677</v>
      </c>
      <c r="B142" s="10" t="s">
        <v>677</v>
      </c>
      <c r="C142" s="10" t="s">
        <v>677</v>
      </c>
      <c r="D142" s="10" t="s">
        <v>677</v>
      </c>
      <c r="E142" s="10" t="s">
        <v>677</v>
      </c>
      <c r="F142" s="10" t="s">
        <v>677</v>
      </c>
      <c r="G142" s="10" t="s">
        <v>677</v>
      </c>
      <c r="H142" s="10" t="s">
        <v>677</v>
      </c>
      <c r="I142" s="10" t="s">
        <v>677</v>
      </c>
      <c r="J142" s="10" t="s">
        <v>677</v>
      </c>
      <c r="K142" s="10" t="s">
        <v>677</v>
      </c>
      <c r="L142" s="10" t="s">
        <v>677</v>
      </c>
      <c r="M142" s="10" t="s">
        <v>677</v>
      </c>
    </row>
    <row r="143" spans="1:28" ht="30" customHeight="1" x14ac:dyDescent="0.3">
      <c r="A143" s="96" t="s">
        <v>1295</v>
      </c>
      <c r="B143" s="97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8"/>
      <c r="N143" s="25" t="s">
        <v>38</v>
      </c>
    </row>
    <row r="144" spans="1:28" ht="30" customHeight="1" x14ac:dyDescent="0.3">
      <c r="A144" s="10" t="s">
        <v>864</v>
      </c>
      <c r="B144" s="10" t="s">
        <v>329</v>
      </c>
      <c r="C144" s="10" t="s">
        <v>547</v>
      </c>
      <c r="D144" s="22">
        <v>1.03</v>
      </c>
      <c r="E144" s="27">
        <f>단가대비표!U5</f>
        <v>1990</v>
      </c>
      <c r="F144" s="27">
        <f>ROUNDDOWN(D144*E144,2)</f>
        <v>2049.6999999999998</v>
      </c>
      <c r="G144" s="27">
        <f>단가대비표!V5</f>
        <v>0</v>
      </c>
      <c r="H144" s="27">
        <f>ROUNDDOWN(D144*G144,2)</f>
        <v>0</v>
      </c>
      <c r="I144" s="27">
        <f>단가대비표!AE5</f>
        <v>0</v>
      </c>
      <c r="J144" s="27">
        <f>ROUNDDOWN(D144*I144,2)</f>
        <v>0</v>
      </c>
      <c r="K144" s="27">
        <f>ROUNDDOWN(E144+G144+I144,2)</f>
        <v>1990</v>
      </c>
      <c r="L144" s="27">
        <f>ROUNDDOWN(F144+H144+J144,2)</f>
        <v>2049.6999999999998</v>
      </c>
      <c r="M144" s="10" t="s">
        <v>979</v>
      </c>
      <c r="N144" s="25" t="s">
        <v>38</v>
      </c>
      <c r="O144" s="7" t="s">
        <v>209</v>
      </c>
      <c r="P144" s="7" t="s">
        <v>677</v>
      </c>
      <c r="Q144" s="7" t="s">
        <v>677</v>
      </c>
      <c r="R144" s="7" t="s">
        <v>184</v>
      </c>
      <c r="S144" s="28">
        <v>10</v>
      </c>
      <c r="T144" s="7" t="s">
        <v>677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</row>
    <row r="145" spans="1:28" ht="30" customHeight="1" x14ac:dyDescent="0.3">
      <c r="A145" s="10" t="s">
        <v>740</v>
      </c>
      <c r="B145" s="10" t="s">
        <v>67</v>
      </c>
      <c r="C145" s="10" t="s">
        <v>547</v>
      </c>
      <c r="D145" s="22">
        <v>1</v>
      </c>
      <c r="E145" s="27">
        <f>일위대가목록!E32</f>
        <v>0</v>
      </c>
      <c r="F145" s="27">
        <f>ROUNDDOWN(D145*E145,2)</f>
        <v>0</v>
      </c>
      <c r="G145" s="27">
        <f>일위대가목록!F32</f>
        <v>412</v>
      </c>
      <c r="H145" s="27">
        <f>ROUNDDOWN(D145*G145,2)</f>
        <v>412</v>
      </c>
      <c r="I145" s="27">
        <f>일위대가목록!G32</f>
        <v>0</v>
      </c>
      <c r="J145" s="27">
        <f>ROUNDDOWN(D145*I145,2)</f>
        <v>0</v>
      </c>
      <c r="K145" s="27">
        <f>ROUNDDOWN(E145+G145+I145,2)</f>
        <v>412</v>
      </c>
      <c r="L145" s="27">
        <f>ROUNDDOWN(F145+H145+J145,2)</f>
        <v>412</v>
      </c>
      <c r="M145" s="10" t="s">
        <v>14</v>
      </c>
      <c r="N145" s="25" t="s">
        <v>38</v>
      </c>
      <c r="O145" s="7" t="s">
        <v>190</v>
      </c>
      <c r="P145" s="7" t="s">
        <v>677</v>
      </c>
      <c r="Q145" s="7" t="s">
        <v>677</v>
      </c>
      <c r="R145" s="7" t="s">
        <v>184</v>
      </c>
      <c r="S145" s="28">
        <v>20</v>
      </c>
      <c r="T145" s="7" t="s">
        <v>677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</row>
    <row r="146" spans="1:28" ht="30" customHeight="1" x14ac:dyDescent="0.3">
      <c r="A146" s="10" t="s">
        <v>489</v>
      </c>
      <c r="B146" s="10" t="s">
        <v>677</v>
      </c>
      <c r="C146" s="10" t="s">
        <v>677</v>
      </c>
      <c r="D146" s="10" t="s">
        <v>677</v>
      </c>
      <c r="E146" s="27">
        <v>0</v>
      </c>
      <c r="F146" s="27">
        <f>ROUNDDOWN(SUMIF(R144:R145, " ", F144:F145),0)</f>
        <v>2049</v>
      </c>
      <c r="G146" s="27">
        <v>0</v>
      </c>
      <c r="H146" s="27">
        <f>ROUNDDOWN(SUMIF(R144:R145, " ", H144:H145),0)</f>
        <v>412</v>
      </c>
      <c r="I146" s="27">
        <v>0</v>
      </c>
      <c r="J146" s="27">
        <f>ROUNDDOWN(SUMIF(R144:R145, " ", J144:J145),0)</f>
        <v>0</v>
      </c>
      <c r="K146" s="30" t="s">
        <v>677</v>
      </c>
      <c r="L146" s="27">
        <f>F146+H146+J146</f>
        <v>2461</v>
      </c>
      <c r="M146" s="10"/>
      <c r="N146" s="9" t="s">
        <v>606</v>
      </c>
      <c r="O146" s="26" t="s">
        <v>606</v>
      </c>
    </row>
    <row r="147" spans="1:28" ht="30" customHeight="1" x14ac:dyDescent="0.3">
      <c r="A147" s="10" t="s">
        <v>677</v>
      </c>
      <c r="B147" s="10" t="s">
        <v>677</v>
      </c>
      <c r="C147" s="10" t="s">
        <v>677</v>
      </c>
      <c r="D147" s="10" t="s">
        <v>677</v>
      </c>
      <c r="E147" s="10" t="s">
        <v>677</v>
      </c>
      <c r="F147" s="10" t="s">
        <v>677</v>
      </c>
      <c r="G147" s="10" t="s">
        <v>677</v>
      </c>
      <c r="H147" s="10" t="s">
        <v>677</v>
      </c>
      <c r="I147" s="10" t="s">
        <v>677</v>
      </c>
      <c r="J147" s="10" t="s">
        <v>677</v>
      </c>
      <c r="K147" s="10" t="s">
        <v>677</v>
      </c>
      <c r="L147" s="10" t="s">
        <v>677</v>
      </c>
      <c r="M147" s="10" t="s">
        <v>677</v>
      </c>
    </row>
    <row r="148" spans="1:28" ht="30" customHeight="1" x14ac:dyDescent="0.3">
      <c r="A148" s="99" t="s">
        <v>854</v>
      </c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1"/>
      <c r="N148" s="25" t="s">
        <v>970</v>
      </c>
    </row>
    <row r="149" spans="1:28" ht="30" customHeight="1" x14ac:dyDescent="0.3">
      <c r="A149" s="47" t="s">
        <v>977</v>
      </c>
      <c r="B149" s="47" t="s">
        <v>220</v>
      </c>
      <c r="C149" s="47" t="s">
        <v>526</v>
      </c>
      <c r="D149" s="48">
        <v>1</v>
      </c>
      <c r="E149" s="49">
        <f>단가대비표!U37</f>
        <v>0</v>
      </c>
      <c r="F149" s="49">
        <f>ROUNDDOWN(D149*E149,2)</f>
        <v>0</v>
      </c>
      <c r="G149" s="49">
        <f>단가대비표!V37</f>
        <v>153671</v>
      </c>
      <c r="H149" s="49">
        <f>ROUNDDOWN(D149*G149,2)</f>
        <v>153671</v>
      </c>
      <c r="I149" s="49">
        <f>단가대비표!AE37</f>
        <v>0</v>
      </c>
      <c r="J149" s="49">
        <f>ROUNDDOWN(D149*I149,2)</f>
        <v>0</v>
      </c>
      <c r="K149" s="49">
        <f>ROUNDDOWN(E149+G149+I149,2)</f>
        <v>153671</v>
      </c>
      <c r="L149" s="49">
        <f>ROUNDDOWN(F149+H149+J149,2)</f>
        <v>153671</v>
      </c>
      <c r="M149" s="47" t="s">
        <v>122</v>
      </c>
      <c r="N149" s="25" t="s">
        <v>970</v>
      </c>
      <c r="O149" s="7" t="s">
        <v>43</v>
      </c>
      <c r="P149" s="7" t="s">
        <v>677</v>
      </c>
      <c r="Q149" s="7" t="s">
        <v>677</v>
      </c>
      <c r="R149" s="7" t="s">
        <v>184</v>
      </c>
      <c r="S149" s="28">
        <v>10</v>
      </c>
      <c r="T149" s="7" t="s">
        <v>533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</row>
    <row r="150" spans="1:28" ht="30" customHeight="1" x14ac:dyDescent="0.3">
      <c r="A150" s="47" t="s">
        <v>489</v>
      </c>
      <c r="B150" s="47" t="s">
        <v>677</v>
      </c>
      <c r="C150" s="47" t="s">
        <v>677</v>
      </c>
      <c r="D150" s="47" t="s">
        <v>677</v>
      </c>
      <c r="E150" s="49">
        <v>0</v>
      </c>
      <c r="F150" s="49">
        <f>ROUNDDOWN(SUMIF(R149:R149, " ", F149:F149),0)</f>
        <v>0</v>
      </c>
      <c r="G150" s="49">
        <v>0</v>
      </c>
      <c r="H150" s="49">
        <f>ROUNDDOWN(SUMIF(R149:R149, " ", H149:H149),0)</f>
        <v>153671</v>
      </c>
      <c r="I150" s="49">
        <v>0</v>
      </c>
      <c r="J150" s="49">
        <f>ROUNDDOWN(SUMIF(R149:R149, " ", J149:J149),0)</f>
        <v>0</v>
      </c>
      <c r="K150" s="50" t="s">
        <v>677</v>
      </c>
      <c r="L150" s="49">
        <f>F150+H150+J150</f>
        <v>153671</v>
      </c>
      <c r="M150" s="47"/>
      <c r="N150" s="9" t="s">
        <v>606</v>
      </c>
      <c r="O150" s="26" t="s">
        <v>606</v>
      </c>
    </row>
    <row r="151" spans="1:28" ht="30" customHeight="1" x14ac:dyDescent="0.3">
      <c r="A151" s="10" t="s">
        <v>677</v>
      </c>
      <c r="B151" s="10" t="s">
        <v>677</v>
      </c>
      <c r="C151" s="10" t="s">
        <v>677</v>
      </c>
      <c r="D151" s="10" t="s">
        <v>677</v>
      </c>
      <c r="E151" s="10" t="s">
        <v>677</v>
      </c>
      <c r="F151" s="10" t="s">
        <v>677</v>
      </c>
      <c r="G151" s="10" t="s">
        <v>677</v>
      </c>
      <c r="H151" s="10" t="s">
        <v>677</v>
      </c>
      <c r="I151" s="10" t="s">
        <v>677</v>
      </c>
      <c r="J151" s="10" t="s">
        <v>677</v>
      </c>
      <c r="K151" s="10" t="s">
        <v>677</v>
      </c>
      <c r="L151" s="10" t="s">
        <v>677</v>
      </c>
      <c r="M151" s="10" t="s">
        <v>677</v>
      </c>
    </row>
    <row r="152" spans="1:28" ht="30" customHeight="1" x14ac:dyDescent="0.3">
      <c r="A152" s="96" t="s">
        <v>676</v>
      </c>
      <c r="B152" s="97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8"/>
      <c r="N152" s="25" t="s">
        <v>1001</v>
      </c>
    </row>
    <row r="153" spans="1:28" ht="30" customHeight="1" x14ac:dyDescent="0.3">
      <c r="A153" s="10" t="s">
        <v>478</v>
      </c>
      <c r="B153" s="10" t="s">
        <v>25</v>
      </c>
      <c r="C153" s="10" t="s">
        <v>1038</v>
      </c>
      <c r="D153" s="22">
        <v>1</v>
      </c>
      <c r="E153" s="27">
        <f>단가대비표!U68</f>
        <v>0</v>
      </c>
      <c r="F153" s="27">
        <f>ROUNDDOWN(D153*E153,2)</f>
        <v>0</v>
      </c>
      <c r="G153" s="27">
        <f>단가대비표!V68</f>
        <v>0</v>
      </c>
      <c r="H153" s="27">
        <f>ROUNDDOWN(D153*G153,2)</f>
        <v>0</v>
      </c>
      <c r="I153" s="27">
        <f>단가대비표!AE68</f>
        <v>2016</v>
      </c>
      <c r="J153" s="27">
        <f>ROUNDDOWN(D153*I153,2)</f>
        <v>2016</v>
      </c>
      <c r="K153" s="27">
        <f>ROUNDDOWN(E153+G153+I153,2)</f>
        <v>2016</v>
      </c>
      <c r="L153" s="27">
        <f>ROUNDDOWN(F153+H153+J153,2)</f>
        <v>2016</v>
      </c>
      <c r="M153" s="10" t="s">
        <v>125</v>
      </c>
      <c r="N153" s="25" t="s">
        <v>1001</v>
      </c>
      <c r="O153" s="7" t="s">
        <v>686</v>
      </c>
      <c r="P153" s="7" t="s">
        <v>677</v>
      </c>
      <c r="Q153" s="7" t="s">
        <v>677</v>
      </c>
      <c r="R153" s="7" t="s">
        <v>184</v>
      </c>
      <c r="S153" s="28">
        <v>10</v>
      </c>
      <c r="T153" s="7" t="s">
        <v>791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</row>
    <row r="154" spans="1:28" ht="30" customHeight="1" x14ac:dyDescent="0.3">
      <c r="A154" s="10" t="s">
        <v>489</v>
      </c>
      <c r="B154" s="10" t="s">
        <v>677</v>
      </c>
      <c r="C154" s="10" t="s">
        <v>677</v>
      </c>
      <c r="D154" s="10" t="s">
        <v>677</v>
      </c>
      <c r="E154" s="27">
        <v>0</v>
      </c>
      <c r="F154" s="27">
        <f>ROUNDDOWN(SUMIF(R153:R153, " ", F153:F153),0)</f>
        <v>0</v>
      </c>
      <c r="G154" s="27">
        <v>0</v>
      </c>
      <c r="H154" s="27">
        <f>ROUNDDOWN(SUMIF(R153:R153, " ", H153:H153),0)</f>
        <v>0</v>
      </c>
      <c r="I154" s="27">
        <v>0</v>
      </c>
      <c r="J154" s="27">
        <f>ROUNDDOWN(SUMIF(R153:R153, " ", J153:J153),0)</f>
        <v>2016</v>
      </c>
      <c r="K154" s="30" t="s">
        <v>677</v>
      </c>
      <c r="L154" s="27">
        <f>F154+H154+J154</f>
        <v>2016</v>
      </c>
      <c r="M154" s="10"/>
      <c r="N154" s="9" t="s">
        <v>606</v>
      </c>
      <c r="O154" s="26" t="s">
        <v>606</v>
      </c>
    </row>
    <row r="155" spans="1:28" ht="30" customHeight="1" x14ac:dyDescent="0.3">
      <c r="A155" s="10" t="s">
        <v>677</v>
      </c>
      <c r="B155" s="10" t="s">
        <v>677</v>
      </c>
      <c r="C155" s="10" t="s">
        <v>677</v>
      </c>
      <c r="D155" s="10" t="s">
        <v>677</v>
      </c>
      <c r="E155" s="10" t="s">
        <v>677</v>
      </c>
      <c r="F155" s="10" t="s">
        <v>677</v>
      </c>
      <c r="G155" s="10" t="s">
        <v>677</v>
      </c>
      <c r="H155" s="10" t="s">
        <v>677</v>
      </c>
      <c r="I155" s="10" t="s">
        <v>677</v>
      </c>
      <c r="J155" s="10" t="s">
        <v>677</v>
      </c>
      <c r="K155" s="10" t="s">
        <v>677</v>
      </c>
      <c r="L155" s="10" t="s">
        <v>677</v>
      </c>
      <c r="M155" s="10" t="s">
        <v>677</v>
      </c>
    </row>
    <row r="156" spans="1:28" ht="30" customHeight="1" x14ac:dyDescent="0.3">
      <c r="A156" s="96" t="s">
        <v>50</v>
      </c>
      <c r="B156" s="97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8"/>
      <c r="N156" s="25" t="s">
        <v>419</v>
      </c>
    </row>
    <row r="157" spans="1:28" ht="30" customHeight="1" x14ac:dyDescent="0.3">
      <c r="A157" s="10" t="s">
        <v>1019</v>
      </c>
      <c r="B157" s="10" t="s">
        <v>243</v>
      </c>
      <c r="C157" s="10" t="s">
        <v>1038</v>
      </c>
      <c r="D157" s="22">
        <v>1</v>
      </c>
      <c r="E157" s="27">
        <f>단가대비표!U69</f>
        <v>0</v>
      </c>
      <c r="F157" s="27">
        <f>ROUNDDOWN(D157*E157,2)</f>
        <v>0</v>
      </c>
      <c r="G157" s="27">
        <f>단가대비표!V69</f>
        <v>0</v>
      </c>
      <c r="H157" s="27">
        <f>ROUNDDOWN(D157*G157,2)</f>
        <v>0</v>
      </c>
      <c r="I157" s="27">
        <f>단가대비표!AE69</f>
        <v>13210</v>
      </c>
      <c r="J157" s="27">
        <f>ROUNDDOWN(D157*I157,2)</f>
        <v>13210</v>
      </c>
      <c r="K157" s="27">
        <f>ROUNDDOWN(E157+G157+I157,2)</f>
        <v>13210</v>
      </c>
      <c r="L157" s="27">
        <f>ROUNDDOWN(F157+H157+J157,2)</f>
        <v>13210</v>
      </c>
      <c r="M157" s="10" t="s">
        <v>401</v>
      </c>
      <c r="N157" s="25" t="s">
        <v>419</v>
      </c>
      <c r="O157" s="7" t="s">
        <v>778</v>
      </c>
      <c r="P157" s="7" t="s">
        <v>677</v>
      </c>
      <c r="Q157" s="7" t="s">
        <v>677</v>
      </c>
      <c r="R157" s="7" t="s">
        <v>184</v>
      </c>
      <c r="S157" s="28">
        <v>10</v>
      </c>
      <c r="T157" s="7" t="s">
        <v>791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</row>
    <row r="158" spans="1:28" ht="30" customHeight="1" x14ac:dyDescent="0.3">
      <c r="A158" s="10" t="s">
        <v>489</v>
      </c>
      <c r="B158" s="10" t="s">
        <v>677</v>
      </c>
      <c r="C158" s="10" t="s">
        <v>677</v>
      </c>
      <c r="D158" s="10" t="s">
        <v>677</v>
      </c>
      <c r="E158" s="27">
        <v>0</v>
      </c>
      <c r="F158" s="27">
        <f>ROUNDDOWN(SUMIF(R157:R157, " ", F157:F157),0)</f>
        <v>0</v>
      </c>
      <c r="G158" s="27">
        <v>0</v>
      </c>
      <c r="H158" s="27">
        <f>ROUNDDOWN(SUMIF(R157:R157, " ", H157:H157),0)</f>
        <v>0</v>
      </c>
      <c r="I158" s="27">
        <v>0</v>
      </c>
      <c r="J158" s="27">
        <f>ROUNDDOWN(SUMIF(R157:R157, " ", J157:J157),0)</f>
        <v>13210</v>
      </c>
      <c r="K158" s="30" t="s">
        <v>677</v>
      </c>
      <c r="L158" s="27">
        <f>F158+H158+J158</f>
        <v>13210</v>
      </c>
      <c r="M158" s="10"/>
      <c r="N158" s="9" t="s">
        <v>606</v>
      </c>
      <c r="O158" s="26" t="s">
        <v>606</v>
      </c>
    </row>
    <row r="159" spans="1:28" ht="30" customHeight="1" x14ac:dyDescent="0.3">
      <c r="A159" s="10" t="s">
        <v>677</v>
      </c>
      <c r="B159" s="10" t="s">
        <v>677</v>
      </c>
      <c r="C159" s="10" t="s">
        <v>677</v>
      </c>
      <c r="D159" s="10" t="s">
        <v>677</v>
      </c>
      <c r="E159" s="10" t="s">
        <v>677</v>
      </c>
      <c r="F159" s="10" t="s">
        <v>677</v>
      </c>
      <c r="G159" s="10" t="s">
        <v>677</v>
      </c>
      <c r="H159" s="10" t="s">
        <v>677</v>
      </c>
      <c r="I159" s="10" t="s">
        <v>677</v>
      </c>
      <c r="J159" s="10" t="s">
        <v>677</v>
      </c>
      <c r="K159" s="10" t="s">
        <v>677</v>
      </c>
      <c r="L159" s="10" t="s">
        <v>677</v>
      </c>
      <c r="M159" s="10" t="s">
        <v>677</v>
      </c>
    </row>
    <row r="160" spans="1:28" ht="30" customHeight="1" x14ac:dyDescent="0.3">
      <c r="A160" s="96" t="s">
        <v>146</v>
      </c>
      <c r="B160" s="97"/>
      <c r="C160" s="97"/>
      <c r="D160" s="97"/>
      <c r="E160" s="97"/>
      <c r="F160" s="97"/>
      <c r="G160" s="97"/>
      <c r="H160" s="97"/>
      <c r="I160" s="97"/>
      <c r="J160" s="97"/>
      <c r="K160" s="97"/>
      <c r="L160" s="97"/>
      <c r="M160" s="98"/>
      <c r="N160" s="25" t="s">
        <v>179</v>
      </c>
    </row>
    <row r="161" spans="1:28" ht="30" customHeight="1" x14ac:dyDescent="0.3">
      <c r="A161" s="10" t="s">
        <v>349</v>
      </c>
      <c r="B161" s="10" t="s">
        <v>220</v>
      </c>
      <c r="C161" s="10" t="s">
        <v>526</v>
      </c>
      <c r="D161" s="22">
        <v>0.2</v>
      </c>
      <c r="E161" s="27">
        <f>단가대비표!U39</f>
        <v>0</v>
      </c>
      <c r="F161" s="27">
        <f>ROUNDDOWN(D161*E161,2)</f>
        <v>0</v>
      </c>
      <c r="G161" s="27">
        <f>단가대비표!V39</f>
        <v>269039</v>
      </c>
      <c r="H161" s="27">
        <f>ROUNDDOWN(D161*G161,2)</f>
        <v>53807.8</v>
      </c>
      <c r="I161" s="27">
        <f>단가대비표!AE39</f>
        <v>0</v>
      </c>
      <c r="J161" s="27">
        <f>ROUNDDOWN(D161*I161,2)</f>
        <v>0</v>
      </c>
      <c r="K161" s="27">
        <f t="shared" ref="K161:L164" si="24">ROUNDDOWN(E161+G161+I161,2)</f>
        <v>269039</v>
      </c>
      <c r="L161" s="27">
        <f t="shared" si="24"/>
        <v>53807.8</v>
      </c>
      <c r="M161" s="10" t="s">
        <v>834</v>
      </c>
      <c r="N161" s="25" t="s">
        <v>179</v>
      </c>
      <c r="O161" s="7" t="s">
        <v>555</v>
      </c>
      <c r="P161" s="7" t="s">
        <v>677</v>
      </c>
      <c r="Q161" s="7" t="s">
        <v>677</v>
      </c>
      <c r="R161" s="7" t="s">
        <v>94</v>
      </c>
      <c r="S161" s="28">
        <v>10</v>
      </c>
      <c r="T161" s="7" t="s">
        <v>645</v>
      </c>
      <c r="U161" s="28">
        <v>0</v>
      </c>
      <c r="V161" s="28">
        <v>1</v>
      </c>
      <c r="W161" s="28">
        <v>0</v>
      </c>
      <c r="X161" s="28">
        <v>0</v>
      </c>
      <c r="Y161" s="28">
        <v>0</v>
      </c>
      <c r="Z161" s="28">
        <v>0</v>
      </c>
      <c r="AA161" s="28">
        <v>0</v>
      </c>
      <c r="AB161" s="28">
        <v>0</v>
      </c>
    </row>
    <row r="162" spans="1:28" ht="30" customHeight="1" x14ac:dyDescent="0.3">
      <c r="A162" s="10" t="s">
        <v>413</v>
      </c>
      <c r="B162" s="10" t="s">
        <v>220</v>
      </c>
      <c r="C162" s="10" t="s">
        <v>526</v>
      </c>
      <c r="D162" s="22">
        <v>0.09</v>
      </c>
      <c r="E162" s="27">
        <f>단가대비표!U38</f>
        <v>0</v>
      </c>
      <c r="F162" s="27">
        <f>ROUNDDOWN(D162*E162,2)</f>
        <v>0</v>
      </c>
      <c r="G162" s="27">
        <f>단가대비표!V38</f>
        <v>192375</v>
      </c>
      <c r="H162" s="27">
        <f>ROUNDDOWN(D162*G162,2)</f>
        <v>17313.75</v>
      </c>
      <c r="I162" s="27">
        <f>단가대비표!AE38</f>
        <v>0</v>
      </c>
      <c r="J162" s="27">
        <f>ROUNDDOWN(D162*I162,2)</f>
        <v>0</v>
      </c>
      <c r="K162" s="27">
        <f t="shared" si="24"/>
        <v>192375</v>
      </c>
      <c r="L162" s="27">
        <f t="shared" si="24"/>
        <v>17313.75</v>
      </c>
      <c r="M162" s="10" t="s">
        <v>613</v>
      </c>
      <c r="N162" s="25" t="s">
        <v>179</v>
      </c>
      <c r="O162" s="7" t="s">
        <v>1041</v>
      </c>
      <c r="P162" s="7" t="s">
        <v>677</v>
      </c>
      <c r="Q162" s="7" t="s">
        <v>677</v>
      </c>
      <c r="R162" s="7" t="s">
        <v>94</v>
      </c>
      <c r="S162" s="28">
        <v>20</v>
      </c>
      <c r="T162" s="7" t="s">
        <v>837</v>
      </c>
      <c r="U162" s="28">
        <v>0</v>
      </c>
      <c r="V162" s="28">
        <v>1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</row>
    <row r="163" spans="1:28" ht="30" customHeight="1" x14ac:dyDescent="0.3">
      <c r="A163" s="10" t="s">
        <v>955</v>
      </c>
      <c r="B163" s="10" t="s">
        <v>954</v>
      </c>
      <c r="C163" s="10" t="s">
        <v>249</v>
      </c>
      <c r="D163" s="22">
        <v>1</v>
      </c>
      <c r="E163" s="27">
        <f>일위대가목록!E46</f>
        <v>10849</v>
      </c>
      <c r="F163" s="27">
        <f>ROUNDDOWN(D163*E163,2)</f>
        <v>10849</v>
      </c>
      <c r="G163" s="27">
        <f>일위대가목록!F46</f>
        <v>40000</v>
      </c>
      <c r="H163" s="27">
        <f>ROUNDDOWN(D163*G163,2)</f>
        <v>40000</v>
      </c>
      <c r="I163" s="27">
        <f>일위대가목록!G46</f>
        <v>9596</v>
      </c>
      <c r="J163" s="27">
        <f>ROUNDDOWN(D163*I163,2)</f>
        <v>9596</v>
      </c>
      <c r="K163" s="27">
        <f t="shared" si="24"/>
        <v>60445</v>
      </c>
      <c r="L163" s="27">
        <f t="shared" si="24"/>
        <v>60445</v>
      </c>
      <c r="M163" s="10" t="s">
        <v>186</v>
      </c>
      <c r="N163" s="25" t="s">
        <v>179</v>
      </c>
      <c r="O163" s="7" t="s">
        <v>985</v>
      </c>
      <c r="P163" s="7" t="s">
        <v>677</v>
      </c>
      <c r="Q163" s="7" t="s">
        <v>677</v>
      </c>
      <c r="R163" s="7" t="s">
        <v>94</v>
      </c>
      <c r="S163" s="28">
        <v>30</v>
      </c>
      <c r="T163" s="7" t="s">
        <v>677</v>
      </c>
      <c r="U163" s="28">
        <v>0</v>
      </c>
      <c r="V163" s="28">
        <v>1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</row>
    <row r="164" spans="1:28" ht="30" customHeight="1" x14ac:dyDescent="0.3">
      <c r="A164" s="10" t="s">
        <v>805</v>
      </c>
      <c r="B164" s="10" t="s">
        <v>779</v>
      </c>
      <c r="C164" s="10" t="s">
        <v>104</v>
      </c>
      <c r="D164" s="22">
        <v>1</v>
      </c>
      <c r="E164" s="27">
        <v>0</v>
      </c>
      <c r="F164" s="27">
        <f>ROUNDDOWN(D164*E164,2)</f>
        <v>0</v>
      </c>
      <c r="G164" s="27">
        <v>0</v>
      </c>
      <c r="H164" s="27">
        <f>ROUNDDOWN(D164*G164,2)</f>
        <v>0</v>
      </c>
      <c r="I164" s="27">
        <f>ROUNDDOWN(SUMIF(V161:V164, RIGHTB(O164, 1), L161:L164)*U164, 2)</f>
        <v>131566.54999999999</v>
      </c>
      <c r="J164" s="27">
        <f>ROUNDDOWN(D164*I164,2)</f>
        <v>131566.54999999999</v>
      </c>
      <c r="K164" s="27">
        <f t="shared" si="24"/>
        <v>131566.54999999999</v>
      </c>
      <c r="L164" s="27">
        <f t="shared" si="24"/>
        <v>131566.54999999999</v>
      </c>
      <c r="M164" s="10"/>
      <c r="N164" s="25" t="s">
        <v>179</v>
      </c>
      <c r="O164" s="7" t="s">
        <v>459</v>
      </c>
      <c r="P164" s="7" t="s">
        <v>677</v>
      </c>
      <c r="Q164" s="7" t="s">
        <v>677</v>
      </c>
      <c r="R164" s="7" t="s">
        <v>184</v>
      </c>
      <c r="S164" s="28">
        <v>40</v>
      </c>
      <c r="T164" s="7" t="s">
        <v>754</v>
      </c>
      <c r="U164" s="28">
        <v>1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</row>
    <row r="165" spans="1:28" ht="30" customHeight="1" x14ac:dyDescent="0.3">
      <c r="A165" s="10" t="s">
        <v>489</v>
      </c>
      <c r="B165" s="10" t="s">
        <v>677</v>
      </c>
      <c r="C165" s="10" t="s">
        <v>677</v>
      </c>
      <c r="D165" s="10" t="s">
        <v>677</v>
      </c>
      <c r="E165" s="27">
        <v>0</v>
      </c>
      <c r="F165" s="27">
        <f>ROUNDDOWN(SUMIF(R161:R164, " ", F161:F164),0)</f>
        <v>0</v>
      </c>
      <c r="G165" s="27">
        <v>0</v>
      </c>
      <c r="H165" s="27">
        <f>ROUNDDOWN(SUMIF(R161:R164, " ", H161:H164),0)</f>
        <v>0</v>
      </c>
      <c r="I165" s="27">
        <v>0</v>
      </c>
      <c r="J165" s="27">
        <f>ROUNDDOWN(SUMIF(R161:R164, " ", J161:J164),0)</f>
        <v>131566</v>
      </c>
      <c r="K165" s="30" t="s">
        <v>677</v>
      </c>
      <c r="L165" s="27">
        <f>F165+H165+J165</f>
        <v>131566</v>
      </c>
      <c r="M165" s="10"/>
      <c r="N165" s="9" t="s">
        <v>606</v>
      </c>
      <c r="O165" s="26" t="s">
        <v>606</v>
      </c>
    </row>
    <row r="166" spans="1:28" ht="30" customHeight="1" x14ac:dyDescent="0.3">
      <c r="A166" s="10" t="s">
        <v>677</v>
      </c>
      <c r="B166" s="10" t="s">
        <v>677</v>
      </c>
      <c r="C166" s="10" t="s">
        <v>677</v>
      </c>
      <c r="D166" s="10" t="s">
        <v>677</v>
      </c>
      <c r="E166" s="10" t="s">
        <v>677</v>
      </c>
      <c r="F166" s="10" t="s">
        <v>677</v>
      </c>
      <c r="G166" s="10" t="s">
        <v>677</v>
      </c>
      <c r="H166" s="10" t="s">
        <v>677</v>
      </c>
      <c r="I166" s="10" t="s">
        <v>677</v>
      </c>
      <c r="J166" s="10" t="s">
        <v>677</v>
      </c>
      <c r="K166" s="10" t="s">
        <v>677</v>
      </c>
      <c r="L166" s="10" t="s">
        <v>677</v>
      </c>
      <c r="M166" s="10" t="s">
        <v>677</v>
      </c>
    </row>
    <row r="167" spans="1:28" ht="30" customHeight="1" x14ac:dyDescent="0.3">
      <c r="A167" s="96" t="s">
        <v>607</v>
      </c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8"/>
      <c r="N167" s="25" t="s">
        <v>757</v>
      </c>
    </row>
    <row r="168" spans="1:28" ht="30" customHeight="1" x14ac:dyDescent="0.3">
      <c r="A168" s="10" t="s">
        <v>349</v>
      </c>
      <c r="B168" s="10" t="s">
        <v>220</v>
      </c>
      <c r="C168" s="10" t="s">
        <v>526</v>
      </c>
      <c r="D168" s="22">
        <v>0.2</v>
      </c>
      <c r="E168" s="27">
        <f>단가대비표!U39</f>
        <v>0</v>
      </c>
      <c r="F168" s="27">
        <f>ROUNDDOWN(D168*E168,2)</f>
        <v>0</v>
      </c>
      <c r="G168" s="27">
        <f>단가대비표!V39</f>
        <v>269039</v>
      </c>
      <c r="H168" s="27">
        <f>ROUNDDOWN(D168*G168,2)</f>
        <v>53807.8</v>
      </c>
      <c r="I168" s="27">
        <f>단가대비표!AE39</f>
        <v>0</v>
      </c>
      <c r="J168" s="27">
        <f>ROUNDDOWN(D168*I168,2)</f>
        <v>0</v>
      </c>
      <c r="K168" s="27">
        <f t="shared" ref="K168:L171" si="25">ROUNDDOWN(E168+G168+I168,2)</f>
        <v>269039</v>
      </c>
      <c r="L168" s="27">
        <f t="shared" si="25"/>
        <v>53807.8</v>
      </c>
      <c r="M168" s="10" t="s">
        <v>834</v>
      </c>
      <c r="N168" s="25" t="s">
        <v>757</v>
      </c>
      <c r="O168" s="7" t="s">
        <v>555</v>
      </c>
      <c r="P168" s="7" t="s">
        <v>677</v>
      </c>
      <c r="Q168" s="7" t="s">
        <v>677</v>
      </c>
      <c r="R168" s="7" t="s">
        <v>94</v>
      </c>
      <c r="S168" s="28">
        <v>10</v>
      </c>
      <c r="T168" s="7" t="s">
        <v>677</v>
      </c>
      <c r="U168" s="28">
        <v>0</v>
      </c>
      <c r="V168" s="28">
        <v>1</v>
      </c>
      <c r="W168" s="28">
        <v>0</v>
      </c>
      <c r="X168" s="28">
        <v>0</v>
      </c>
      <c r="Y168" s="28">
        <v>0</v>
      </c>
      <c r="Z168" s="28">
        <v>0</v>
      </c>
      <c r="AA168" s="28">
        <v>0</v>
      </c>
      <c r="AB168" s="28">
        <v>0</v>
      </c>
    </row>
    <row r="169" spans="1:28" ht="30" customHeight="1" x14ac:dyDescent="0.3">
      <c r="A169" s="10" t="s">
        <v>413</v>
      </c>
      <c r="B169" s="10" t="s">
        <v>220</v>
      </c>
      <c r="C169" s="10" t="s">
        <v>526</v>
      </c>
      <c r="D169" s="22">
        <v>0.09</v>
      </c>
      <c r="E169" s="27">
        <f>단가대비표!U38</f>
        <v>0</v>
      </c>
      <c r="F169" s="27">
        <f>ROUNDDOWN(D169*E169,2)</f>
        <v>0</v>
      </c>
      <c r="G169" s="27">
        <f>단가대비표!V38</f>
        <v>192375</v>
      </c>
      <c r="H169" s="27">
        <f>ROUNDDOWN(D169*G169,2)</f>
        <v>17313.75</v>
      </c>
      <c r="I169" s="27">
        <f>단가대비표!AE38</f>
        <v>0</v>
      </c>
      <c r="J169" s="27">
        <f>ROUNDDOWN(D169*I169,2)</f>
        <v>0</v>
      </c>
      <c r="K169" s="27">
        <f t="shared" si="25"/>
        <v>192375</v>
      </c>
      <c r="L169" s="27">
        <f t="shared" si="25"/>
        <v>17313.75</v>
      </c>
      <c r="M169" s="10" t="s">
        <v>613</v>
      </c>
      <c r="N169" s="25" t="s">
        <v>757</v>
      </c>
      <c r="O169" s="7" t="s">
        <v>1041</v>
      </c>
      <c r="P169" s="7" t="s">
        <v>677</v>
      </c>
      <c r="Q169" s="7" t="s">
        <v>677</v>
      </c>
      <c r="R169" s="7" t="s">
        <v>94</v>
      </c>
      <c r="S169" s="28">
        <v>20</v>
      </c>
      <c r="T169" s="7" t="s">
        <v>677</v>
      </c>
      <c r="U169" s="28">
        <v>0</v>
      </c>
      <c r="V169" s="28">
        <v>1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</row>
    <row r="170" spans="1:28" ht="30" customHeight="1" x14ac:dyDescent="0.3">
      <c r="A170" s="10" t="s">
        <v>955</v>
      </c>
      <c r="B170" s="10" t="s">
        <v>954</v>
      </c>
      <c r="C170" s="10" t="s">
        <v>249</v>
      </c>
      <c r="D170" s="22">
        <v>1</v>
      </c>
      <c r="E170" s="27">
        <f>일위대가목록!E46</f>
        <v>10849</v>
      </c>
      <c r="F170" s="27">
        <f>ROUNDDOWN(D170*E170,2)</f>
        <v>10849</v>
      </c>
      <c r="G170" s="27">
        <f>일위대가목록!F46</f>
        <v>40000</v>
      </c>
      <c r="H170" s="27">
        <f>ROUNDDOWN(D170*G170,2)</f>
        <v>40000</v>
      </c>
      <c r="I170" s="27">
        <f>일위대가목록!G46</f>
        <v>9596</v>
      </c>
      <c r="J170" s="27">
        <f>ROUNDDOWN(D170*I170,2)</f>
        <v>9596</v>
      </c>
      <c r="K170" s="27">
        <f t="shared" si="25"/>
        <v>60445</v>
      </c>
      <c r="L170" s="27">
        <f t="shared" si="25"/>
        <v>60445</v>
      </c>
      <c r="M170" s="10" t="s">
        <v>186</v>
      </c>
      <c r="N170" s="25" t="s">
        <v>757</v>
      </c>
      <c r="O170" s="7" t="s">
        <v>985</v>
      </c>
      <c r="P170" s="7" t="s">
        <v>677</v>
      </c>
      <c r="Q170" s="7" t="s">
        <v>677</v>
      </c>
      <c r="R170" s="7" t="s">
        <v>94</v>
      </c>
      <c r="S170" s="28">
        <v>30</v>
      </c>
      <c r="T170" s="7" t="s">
        <v>677</v>
      </c>
      <c r="U170" s="28">
        <v>0</v>
      </c>
      <c r="V170" s="28">
        <v>1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</row>
    <row r="171" spans="1:28" ht="30" customHeight="1" x14ac:dyDescent="0.3">
      <c r="A171" s="10" t="s">
        <v>805</v>
      </c>
      <c r="B171" s="10" t="s">
        <v>779</v>
      </c>
      <c r="C171" s="10" t="s">
        <v>104</v>
      </c>
      <c r="D171" s="22">
        <v>1</v>
      </c>
      <c r="E171" s="27">
        <v>0</v>
      </c>
      <c r="F171" s="27">
        <f>ROUNDDOWN(D171*E171,2)</f>
        <v>0</v>
      </c>
      <c r="G171" s="27">
        <v>0</v>
      </c>
      <c r="H171" s="27">
        <f>ROUNDDOWN(D171*G171,2)</f>
        <v>0</v>
      </c>
      <c r="I171" s="27">
        <f>ROUNDDOWN(SUMIF(V168:V171, RIGHTB(O171, 1), L168:L171)*U171, 2)</f>
        <v>131566.54999999999</v>
      </c>
      <c r="J171" s="27">
        <f>ROUNDDOWN(D171*I171,2)</f>
        <v>131566.54999999999</v>
      </c>
      <c r="K171" s="27">
        <f t="shared" si="25"/>
        <v>131566.54999999999</v>
      </c>
      <c r="L171" s="27">
        <f t="shared" si="25"/>
        <v>131566.54999999999</v>
      </c>
      <c r="M171" s="10"/>
      <c r="N171" s="25" t="s">
        <v>757</v>
      </c>
      <c r="O171" s="7" t="s">
        <v>459</v>
      </c>
      <c r="P171" s="7" t="s">
        <v>677</v>
      </c>
      <c r="Q171" s="7" t="s">
        <v>677</v>
      </c>
      <c r="R171" s="7" t="s">
        <v>184</v>
      </c>
      <c r="S171" s="28">
        <v>40</v>
      </c>
      <c r="T171" s="7" t="s">
        <v>754</v>
      </c>
      <c r="U171" s="28">
        <v>1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</row>
    <row r="172" spans="1:28" ht="30" customHeight="1" x14ac:dyDescent="0.3">
      <c r="A172" s="10" t="s">
        <v>489</v>
      </c>
      <c r="B172" s="10" t="s">
        <v>677</v>
      </c>
      <c r="C172" s="10" t="s">
        <v>677</v>
      </c>
      <c r="D172" s="10" t="s">
        <v>677</v>
      </c>
      <c r="E172" s="27">
        <v>0</v>
      </c>
      <c r="F172" s="27">
        <f>ROUNDDOWN(SUMIF(R168:R171, " ", F168:F171),0)</f>
        <v>0</v>
      </c>
      <c r="G172" s="27">
        <v>0</v>
      </c>
      <c r="H172" s="27">
        <f>ROUNDDOWN(SUMIF(R168:R171, " ", H168:H171),0)</f>
        <v>0</v>
      </c>
      <c r="I172" s="27">
        <v>0</v>
      </c>
      <c r="J172" s="27">
        <f>ROUNDDOWN(SUMIF(R168:R171, " ", J168:J171),0)</f>
        <v>131566</v>
      </c>
      <c r="K172" s="30" t="s">
        <v>677</v>
      </c>
      <c r="L172" s="27">
        <f>F172+H172+J172</f>
        <v>131566</v>
      </c>
      <c r="M172" s="10"/>
      <c r="N172" s="9" t="s">
        <v>606</v>
      </c>
      <c r="O172" s="26" t="s">
        <v>606</v>
      </c>
    </row>
    <row r="173" spans="1:28" ht="30" customHeight="1" x14ac:dyDescent="0.3">
      <c r="A173" s="10" t="s">
        <v>677</v>
      </c>
      <c r="B173" s="10" t="s">
        <v>677</v>
      </c>
      <c r="C173" s="10" t="s">
        <v>677</v>
      </c>
      <c r="D173" s="10" t="s">
        <v>677</v>
      </c>
      <c r="E173" s="10" t="s">
        <v>677</v>
      </c>
      <c r="F173" s="10" t="s">
        <v>677</v>
      </c>
      <c r="G173" s="10" t="s">
        <v>677</v>
      </c>
      <c r="H173" s="10" t="s">
        <v>677</v>
      </c>
      <c r="I173" s="10" t="s">
        <v>677</v>
      </c>
      <c r="J173" s="10" t="s">
        <v>677</v>
      </c>
      <c r="K173" s="10" t="s">
        <v>677</v>
      </c>
      <c r="L173" s="10" t="s">
        <v>677</v>
      </c>
      <c r="M173" s="10" t="s">
        <v>677</v>
      </c>
    </row>
    <row r="174" spans="1:28" ht="30" customHeight="1" x14ac:dyDescent="0.3">
      <c r="A174" s="96" t="s">
        <v>357</v>
      </c>
      <c r="B174" s="97"/>
      <c r="C174" s="97"/>
      <c r="D174" s="97"/>
      <c r="E174" s="97"/>
      <c r="F174" s="97"/>
      <c r="G174" s="97"/>
      <c r="H174" s="97"/>
      <c r="I174" s="97"/>
      <c r="J174" s="97"/>
      <c r="K174" s="97"/>
      <c r="L174" s="97"/>
      <c r="M174" s="98"/>
      <c r="N174" s="25" t="s">
        <v>190</v>
      </c>
    </row>
    <row r="175" spans="1:28" ht="30" customHeight="1" x14ac:dyDescent="0.3">
      <c r="A175" s="10" t="s">
        <v>206</v>
      </c>
      <c r="B175" s="10" t="s">
        <v>220</v>
      </c>
      <c r="C175" s="10" t="s">
        <v>526</v>
      </c>
      <c r="D175" s="22">
        <v>1.5E-3</v>
      </c>
      <c r="E175" s="27">
        <f>단가대비표!U50</f>
        <v>0</v>
      </c>
      <c r="F175" s="27">
        <f>ROUNDDOWN(D175*E175,2)</f>
        <v>0</v>
      </c>
      <c r="G175" s="27">
        <f>단가대비표!V50</f>
        <v>192790</v>
      </c>
      <c r="H175" s="27">
        <f>ROUNDDOWN(D175*G175,2)</f>
        <v>289.18</v>
      </c>
      <c r="I175" s="27">
        <f>단가대비표!AE50</f>
        <v>0</v>
      </c>
      <c r="J175" s="27">
        <f>ROUNDDOWN(D175*I175,2)</f>
        <v>0</v>
      </c>
      <c r="K175" s="27">
        <f>ROUNDDOWN(E175+G175+I175,2)</f>
        <v>192790</v>
      </c>
      <c r="L175" s="27">
        <f>ROUNDDOWN(F175+H175+J175,2)</f>
        <v>289.18</v>
      </c>
      <c r="M175" s="10" t="s">
        <v>403</v>
      </c>
      <c r="N175" s="25" t="s">
        <v>190</v>
      </c>
      <c r="O175" s="7" t="s">
        <v>138</v>
      </c>
      <c r="P175" s="7" t="s">
        <v>677</v>
      </c>
      <c r="Q175" s="7" t="s">
        <v>677</v>
      </c>
      <c r="R175" s="7" t="s">
        <v>184</v>
      </c>
      <c r="S175" s="28">
        <v>10</v>
      </c>
      <c r="T175" s="7" t="s">
        <v>677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</row>
    <row r="176" spans="1:28" ht="30" customHeight="1" x14ac:dyDescent="0.3">
      <c r="A176" s="10" t="s">
        <v>977</v>
      </c>
      <c r="B176" s="10" t="s">
        <v>220</v>
      </c>
      <c r="C176" s="10" t="s">
        <v>526</v>
      </c>
      <c r="D176" s="22">
        <v>8.0000000000000004E-4</v>
      </c>
      <c r="E176" s="27">
        <f>단가대비표!U37</f>
        <v>0</v>
      </c>
      <c r="F176" s="27">
        <f>ROUNDDOWN(D176*E176,2)</f>
        <v>0</v>
      </c>
      <c r="G176" s="27">
        <f>단가대비표!V37</f>
        <v>153671</v>
      </c>
      <c r="H176" s="27">
        <f>ROUNDDOWN(D176*G176,2)</f>
        <v>122.93</v>
      </c>
      <c r="I176" s="27">
        <f>단가대비표!AE37</f>
        <v>0</v>
      </c>
      <c r="J176" s="27">
        <f>ROUNDDOWN(D176*I176,2)</f>
        <v>0</v>
      </c>
      <c r="K176" s="27">
        <f>ROUNDDOWN(E176+G176+I176,2)</f>
        <v>153671</v>
      </c>
      <c r="L176" s="27">
        <f>ROUNDDOWN(F176+H176+J176,2)</f>
        <v>122.93</v>
      </c>
      <c r="M176" s="10" t="s">
        <v>122</v>
      </c>
      <c r="N176" s="25" t="s">
        <v>190</v>
      </c>
      <c r="O176" s="7" t="s">
        <v>43</v>
      </c>
      <c r="P176" s="7" t="s">
        <v>677</v>
      </c>
      <c r="Q176" s="7" t="s">
        <v>677</v>
      </c>
      <c r="R176" s="7" t="s">
        <v>184</v>
      </c>
      <c r="S176" s="28">
        <v>20</v>
      </c>
      <c r="T176" s="7" t="s">
        <v>677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</row>
    <row r="177" spans="1:28" ht="30" customHeight="1" x14ac:dyDescent="0.3">
      <c r="A177" s="10" t="s">
        <v>489</v>
      </c>
      <c r="B177" s="10" t="s">
        <v>677</v>
      </c>
      <c r="C177" s="10" t="s">
        <v>677</v>
      </c>
      <c r="D177" s="10" t="s">
        <v>677</v>
      </c>
      <c r="E177" s="27">
        <v>0</v>
      </c>
      <c r="F177" s="27">
        <f>ROUNDDOWN(SUMIF(R175:R176, " ", F175:F176),0)</f>
        <v>0</v>
      </c>
      <c r="G177" s="27">
        <v>0</v>
      </c>
      <c r="H177" s="27">
        <f>ROUNDDOWN(SUMIF(R175:R176, " ", H175:H176),0)</f>
        <v>412</v>
      </c>
      <c r="I177" s="27">
        <v>0</v>
      </c>
      <c r="J177" s="27">
        <f>ROUNDDOWN(SUMIF(R175:R176, " ", J175:J176),0)</f>
        <v>0</v>
      </c>
      <c r="K177" s="30" t="s">
        <v>677</v>
      </c>
      <c r="L177" s="27">
        <f>F177+H177+J177</f>
        <v>412</v>
      </c>
      <c r="M177" s="10"/>
      <c r="N177" s="9" t="s">
        <v>606</v>
      </c>
      <c r="O177" s="26" t="s">
        <v>606</v>
      </c>
    </row>
    <row r="178" spans="1:28" ht="30" customHeight="1" x14ac:dyDescent="0.3">
      <c r="A178" s="10" t="s">
        <v>677</v>
      </c>
      <c r="B178" s="10" t="s">
        <v>677</v>
      </c>
      <c r="C178" s="10" t="s">
        <v>677</v>
      </c>
      <c r="D178" s="10" t="s">
        <v>677</v>
      </c>
      <c r="E178" s="10" t="s">
        <v>677</v>
      </c>
      <c r="F178" s="10" t="s">
        <v>677</v>
      </c>
      <c r="G178" s="10" t="s">
        <v>677</v>
      </c>
      <c r="H178" s="10" t="s">
        <v>677</v>
      </c>
      <c r="I178" s="10" t="s">
        <v>677</v>
      </c>
      <c r="J178" s="10" t="s">
        <v>677</v>
      </c>
      <c r="K178" s="10" t="s">
        <v>677</v>
      </c>
      <c r="L178" s="10" t="s">
        <v>677</v>
      </c>
      <c r="M178" s="10" t="s">
        <v>677</v>
      </c>
    </row>
    <row r="179" spans="1:28" ht="30" customHeight="1" x14ac:dyDescent="0.3">
      <c r="A179" s="96" t="s">
        <v>514</v>
      </c>
      <c r="B179" s="97"/>
      <c r="C179" s="97"/>
      <c r="D179" s="97"/>
      <c r="E179" s="97"/>
      <c r="F179" s="97"/>
      <c r="G179" s="97"/>
      <c r="H179" s="97"/>
      <c r="I179" s="97"/>
      <c r="J179" s="97"/>
      <c r="K179" s="97"/>
      <c r="L179" s="97"/>
      <c r="M179" s="98"/>
      <c r="N179" s="25" t="s">
        <v>622</v>
      </c>
    </row>
    <row r="180" spans="1:28" ht="30" customHeight="1" x14ac:dyDescent="0.3">
      <c r="A180" s="10" t="s">
        <v>129</v>
      </c>
      <c r="B180" s="10" t="s">
        <v>220</v>
      </c>
      <c r="C180" s="10" t="s">
        <v>526</v>
      </c>
      <c r="D180" s="22">
        <v>0.69</v>
      </c>
      <c r="E180" s="27">
        <f>단가대비표!U41</f>
        <v>0</v>
      </c>
      <c r="F180" s="27">
        <f>ROUNDDOWN(D180*E180,2)</f>
        <v>0</v>
      </c>
      <c r="G180" s="27">
        <f>단가대비표!V41</f>
        <v>240080</v>
      </c>
      <c r="H180" s="27">
        <f>ROUNDDOWN(D180*G180,2)</f>
        <v>165655.20000000001</v>
      </c>
      <c r="I180" s="27">
        <f>단가대비표!AE41</f>
        <v>0</v>
      </c>
      <c r="J180" s="27">
        <f>ROUNDDOWN(D180*I180,2)</f>
        <v>0</v>
      </c>
      <c r="K180" s="27">
        <f t="shared" ref="K180:L182" si="26">ROUNDDOWN(E180+G180+I180,2)</f>
        <v>240080</v>
      </c>
      <c r="L180" s="27">
        <f t="shared" si="26"/>
        <v>165655.20000000001</v>
      </c>
      <c r="M180" s="10" t="s">
        <v>887</v>
      </c>
      <c r="N180" s="25" t="s">
        <v>622</v>
      </c>
      <c r="O180" s="7" t="s">
        <v>272</v>
      </c>
      <c r="P180" s="7" t="s">
        <v>677</v>
      </c>
      <c r="Q180" s="7" t="s">
        <v>677</v>
      </c>
      <c r="R180" s="7" t="s">
        <v>184</v>
      </c>
      <c r="S180" s="28">
        <v>10</v>
      </c>
      <c r="T180" s="7" t="s">
        <v>267</v>
      </c>
      <c r="U180" s="28">
        <v>0</v>
      </c>
      <c r="V180" s="28">
        <v>1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</row>
    <row r="181" spans="1:28" ht="30" customHeight="1" x14ac:dyDescent="0.3">
      <c r="A181" s="10" t="s">
        <v>977</v>
      </c>
      <c r="B181" s="10" t="s">
        <v>220</v>
      </c>
      <c r="C181" s="10" t="s">
        <v>526</v>
      </c>
      <c r="D181" s="22">
        <v>0.22</v>
      </c>
      <c r="E181" s="27">
        <f>단가대비표!U37</f>
        <v>0</v>
      </c>
      <c r="F181" s="27">
        <f>ROUNDDOWN(D181*E181,2)</f>
        <v>0</v>
      </c>
      <c r="G181" s="27">
        <f>단가대비표!V37</f>
        <v>153671</v>
      </c>
      <c r="H181" s="27">
        <f>ROUNDDOWN(D181*G181,2)</f>
        <v>33807.620000000003</v>
      </c>
      <c r="I181" s="27">
        <f>단가대비표!AE37</f>
        <v>0</v>
      </c>
      <c r="J181" s="27">
        <f>ROUNDDOWN(D181*I181,2)</f>
        <v>0</v>
      </c>
      <c r="K181" s="27">
        <f t="shared" si="26"/>
        <v>153671</v>
      </c>
      <c r="L181" s="27">
        <f t="shared" si="26"/>
        <v>33807.620000000003</v>
      </c>
      <c r="M181" s="10" t="s">
        <v>122</v>
      </c>
      <c r="N181" s="25" t="s">
        <v>622</v>
      </c>
      <c r="O181" s="7" t="s">
        <v>43</v>
      </c>
      <c r="P181" s="7" t="s">
        <v>677</v>
      </c>
      <c r="Q181" s="7" t="s">
        <v>677</v>
      </c>
      <c r="R181" s="7" t="s">
        <v>184</v>
      </c>
      <c r="S181" s="28">
        <v>20</v>
      </c>
      <c r="T181" s="7" t="s">
        <v>618</v>
      </c>
      <c r="U181" s="28">
        <v>0</v>
      </c>
      <c r="V181" s="28">
        <v>1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</row>
    <row r="182" spans="1:28" ht="30" customHeight="1" x14ac:dyDescent="0.3">
      <c r="A182" s="10" t="s">
        <v>941</v>
      </c>
      <c r="B182" s="10" t="s">
        <v>651</v>
      </c>
      <c r="C182" s="10" t="s">
        <v>104</v>
      </c>
      <c r="D182" s="22">
        <v>1</v>
      </c>
      <c r="E182" s="27">
        <v>0</v>
      </c>
      <c r="F182" s="27">
        <f>ROUNDDOWN(D182*E182,2)</f>
        <v>0</v>
      </c>
      <c r="G182" s="27">
        <v>0</v>
      </c>
      <c r="H182" s="27">
        <f>ROUNDDOWN(D182*G182,2)</f>
        <v>0</v>
      </c>
      <c r="I182" s="27">
        <f>ROUNDDOWN(SUMIF(V180:V182, RIGHTB(O182, 1), H180:H182)*U182, 2)</f>
        <v>17951.650000000001</v>
      </c>
      <c r="J182" s="27">
        <f>ROUNDDOWN(D182*I182,2)</f>
        <v>17951.650000000001</v>
      </c>
      <c r="K182" s="27">
        <f t="shared" si="26"/>
        <v>17951.650000000001</v>
      </c>
      <c r="L182" s="27">
        <f t="shared" si="26"/>
        <v>17951.650000000001</v>
      </c>
      <c r="M182" s="10"/>
      <c r="N182" s="25" t="s">
        <v>622</v>
      </c>
      <c r="O182" s="7" t="s">
        <v>459</v>
      </c>
      <c r="P182" s="7" t="s">
        <v>677</v>
      </c>
      <c r="Q182" s="7" t="s">
        <v>677</v>
      </c>
      <c r="R182" s="7" t="s">
        <v>184</v>
      </c>
      <c r="S182" s="28">
        <v>30</v>
      </c>
      <c r="T182" s="7" t="s">
        <v>908</v>
      </c>
      <c r="U182" s="28">
        <v>0.09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</row>
    <row r="183" spans="1:28" ht="30" customHeight="1" x14ac:dyDescent="0.3">
      <c r="A183" s="10" t="s">
        <v>489</v>
      </c>
      <c r="B183" s="10" t="s">
        <v>677</v>
      </c>
      <c r="C183" s="10" t="s">
        <v>677</v>
      </c>
      <c r="D183" s="10" t="s">
        <v>677</v>
      </c>
      <c r="E183" s="27">
        <v>0</v>
      </c>
      <c r="F183" s="27">
        <f>ROUNDDOWN(SUMIF(R180:R182, " ", F180:F182),0)</f>
        <v>0</v>
      </c>
      <c r="G183" s="27">
        <v>0</v>
      </c>
      <c r="H183" s="27">
        <f>ROUNDDOWN(SUMIF(R180:R182, " ", H180:H182),0)</f>
        <v>199462</v>
      </c>
      <c r="I183" s="27">
        <v>0</v>
      </c>
      <c r="J183" s="27">
        <f>ROUNDDOWN(SUMIF(R180:R182, " ", J180:J182),0)</f>
        <v>17951</v>
      </c>
      <c r="K183" s="30" t="s">
        <v>677</v>
      </c>
      <c r="L183" s="27">
        <f>F183+H183+J183</f>
        <v>217413</v>
      </c>
      <c r="M183" s="10"/>
      <c r="N183" s="9" t="s">
        <v>606</v>
      </c>
      <c r="O183" s="26" t="s">
        <v>606</v>
      </c>
    </row>
    <row r="184" spans="1:28" ht="30" customHeight="1" x14ac:dyDescent="0.3">
      <c r="A184" s="10" t="s">
        <v>677</v>
      </c>
      <c r="B184" s="10" t="s">
        <v>677</v>
      </c>
      <c r="C184" s="10" t="s">
        <v>677</v>
      </c>
      <c r="D184" s="10" t="s">
        <v>677</v>
      </c>
      <c r="E184" s="10" t="s">
        <v>677</v>
      </c>
      <c r="F184" s="10" t="s">
        <v>677</v>
      </c>
      <c r="G184" s="10" t="s">
        <v>677</v>
      </c>
      <c r="H184" s="10" t="s">
        <v>677</v>
      </c>
      <c r="I184" s="10" t="s">
        <v>677</v>
      </c>
      <c r="J184" s="10" t="s">
        <v>677</v>
      </c>
      <c r="K184" s="10" t="s">
        <v>677</v>
      </c>
      <c r="L184" s="10" t="s">
        <v>677</v>
      </c>
      <c r="M184" s="10" t="s">
        <v>677</v>
      </c>
    </row>
    <row r="185" spans="1:28" ht="30" customHeight="1" x14ac:dyDescent="0.3">
      <c r="A185" s="96" t="s">
        <v>734</v>
      </c>
      <c r="B185" s="97"/>
      <c r="C185" s="97"/>
      <c r="D185" s="97"/>
      <c r="E185" s="97"/>
      <c r="F185" s="97"/>
      <c r="G185" s="97"/>
      <c r="H185" s="97"/>
      <c r="I185" s="97"/>
      <c r="J185" s="97"/>
      <c r="K185" s="97"/>
      <c r="L185" s="97"/>
      <c r="M185" s="98"/>
      <c r="N185" s="25" t="s">
        <v>660</v>
      </c>
    </row>
    <row r="186" spans="1:28" ht="30" customHeight="1" x14ac:dyDescent="0.3">
      <c r="A186" s="10" t="s">
        <v>129</v>
      </c>
      <c r="B186" s="10" t="s">
        <v>220</v>
      </c>
      <c r="C186" s="10" t="s">
        <v>526</v>
      </c>
      <c r="D186" s="22">
        <v>1.73</v>
      </c>
      <c r="E186" s="27">
        <f>단가대비표!U41</f>
        <v>0</v>
      </c>
      <c r="F186" s="27">
        <f>ROUNDDOWN(D186*E186,2)</f>
        <v>0</v>
      </c>
      <c r="G186" s="27">
        <f>단가대비표!V41</f>
        <v>240080</v>
      </c>
      <c r="H186" s="27">
        <f>ROUNDDOWN(D186*G186,2)</f>
        <v>415338.4</v>
      </c>
      <c r="I186" s="27">
        <f>단가대비표!AE41</f>
        <v>0</v>
      </c>
      <c r="J186" s="27">
        <f>ROUNDDOWN(D186*I186,2)</f>
        <v>0</v>
      </c>
      <c r="K186" s="27">
        <f t="shared" ref="K186:L190" si="27">ROUNDDOWN(E186+G186+I186,2)</f>
        <v>240080</v>
      </c>
      <c r="L186" s="27">
        <f t="shared" si="27"/>
        <v>415338.4</v>
      </c>
      <c r="M186" s="10" t="s">
        <v>887</v>
      </c>
      <c r="N186" s="25" t="s">
        <v>660</v>
      </c>
      <c r="O186" s="7" t="s">
        <v>272</v>
      </c>
      <c r="P186" s="7" t="s">
        <v>677</v>
      </c>
      <c r="Q186" s="7" t="s">
        <v>677</v>
      </c>
      <c r="R186" s="7" t="s">
        <v>184</v>
      </c>
      <c r="S186" s="28">
        <v>10</v>
      </c>
      <c r="T186" s="7" t="s">
        <v>677</v>
      </c>
      <c r="U186" s="28">
        <v>0</v>
      </c>
      <c r="V186" s="28">
        <v>1</v>
      </c>
      <c r="W186" s="28">
        <v>2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</row>
    <row r="187" spans="1:28" ht="30" customHeight="1" x14ac:dyDescent="0.3">
      <c r="A187" s="10" t="s">
        <v>977</v>
      </c>
      <c r="B187" s="10" t="s">
        <v>220</v>
      </c>
      <c r="C187" s="10" t="s">
        <v>526</v>
      </c>
      <c r="D187" s="22">
        <v>0.59</v>
      </c>
      <c r="E187" s="27">
        <f>단가대비표!U37</f>
        <v>0</v>
      </c>
      <c r="F187" s="27">
        <f>ROUNDDOWN(D187*E187,2)</f>
        <v>0</v>
      </c>
      <c r="G187" s="27">
        <f>단가대비표!V37</f>
        <v>153671</v>
      </c>
      <c r="H187" s="27">
        <f>ROUNDDOWN(D187*G187,2)</f>
        <v>90665.89</v>
      </c>
      <c r="I187" s="27">
        <f>단가대비표!AE37</f>
        <v>0</v>
      </c>
      <c r="J187" s="27">
        <f>ROUNDDOWN(D187*I187,2)</f>
        <v>0</v>
      </c>
      <c r="K187" s="27">
        <f t="shared" si="27"/>
        <v>153671</v>
      </c>
      <c r="L187" s="27">
        <f t="shared" si="27"/>
        <v>90665.89</v>
      </c>
      <c r="M187" s="10" t="s">
        <v>122</v>
      </c>
      <c r="N187" s="25" t="s">
        <v>660</v>
      </c>
      <c r="O187" s="7" t="s">
        <v>43</v>
      </c>
      <c r="P187" s="7" t="s">
        <v>677</v>
      </c>
      <c r="Q187" s="7" t="s">
        <v>677</v>
      </c>
      <c r="R187" s="7" t="s">
        <v>184</v>
      </c>
      <c r="S187" s="28">
        <v>20</v>
      </c>
      <c r="T187" s="7" t="s">
        <v>677</v>
      </c>
      <c r="U187" s="28">
        <v>0</v>
      </c>
      <c r="V187" s="28">
        <v>1</v>
      </c>
      <c r="W187" s="28">
        <v>2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</row>
    <row r="188" spans="1:28" ht="30" customHeight="1" x14ac:dyDescent="0.3">
      <c r="A188" s="10" t="s">
        <v>85</v>
      </c>
      <c r="B188" s="10" t="s">
        <v>80</v>
      </c>
      <c r="C188" s="10" t="s">
        <v>104</v>
      </c>
      <c r="D188" s="22">
        <v>1</v>
      </c>
      <c r="E188" s="27">
        <v>0</v>
      </c>
      <c r="F188" s="27">
        <f>ROUNDDOWN(D188*E188,2)</f>
        <v>0</v>
      </c>
      <c r="G188" s="27">
        <v>0</v>
      </c>
      <c r="H188" s="27">
        <f>ROUNDDOWN(D188*G188,2)</f>
        <v>0</v>
      </c>
      <c r="I188" s="27">
        <f>ROUNDDOWN(SUMIF(V186:V190, RIGHTB(O188, 1), H186:H190)*U188, 2)</f>
        <v>10120.08</v>
      </c>
      <c r="J188" s="27">
        <f>ROUNDDOWN(D188*I188,2)</f>
        <v>10120.08</v>
      </c>
      <c r="K188" s="27">
        <f t="shared" si="27"/>
        <v>10120.08</v>
      </c>
      <c r="L188" s="27">
        <f t="shared" si="27"/>
        <v>10120.08</v>
      </c>
      <c r="M188" s="10" t="s">
        <v>677</v>
      </c>
      <c r="N188" s="25" t="s">
        <v>660</v>
      </c>
      <c r="O188" s="7" t="s">
        <v>459</v>
      </c>
      <c r="P188" s="7" t="s">
        <v>677</v>
      </c>
      <c r="Q188" s="7" t="s">
        <v>677</v>
      </c>
      <c r="R188" s="7" t="s">
        <v>184</v>
      </c>
      <c r="S188" s="28">
        <v>30</v>
      </c>
      <c r="T188" s="7" t="s">
        <v>708</v>
      </c>
      <c r="U188" s="28">
        <v>0.02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</row>
    <row r="189" spans="1:28" ht="30" customHeight="1" x14ac:dyDescent="0.3">
      <c r="A189" s="10" t="s">
        <v>534</v>
      </c>
      <c r="B189" s="10" t="s">
        <v>504</v>
      </c>
      <c r="C189" s="10" t="s">
        <v>961</v>
      </c>
      <c r="D189" s="22">
        <v>6.5</v>
      </c>
      <c r="E189" s="27">
        <f>단가대비표!U25</f>
        <v>1524</v>
      </c>
      <c r="F189" s="27">
        <f>ROUNDDOWN(D189*E189,2)</f>
        <v>9906</v>
      </c>
      <c r="G189" s="27">
        <f>단가대비표!V25</f>
        <v>0</v>
      </c>
      <c r="H189" s="27">
        <f>ROUNDDOWN(D189*G189,2)</f>
        <v>0</v>
      </c>
      <c r="I189" s="27">
        <f>단가대비표!AE25</f>
        <v>0</v>
      </c>
      <c r="J189" s="27">
        <f>ROUNDDOWN(D189*I189,2)</f>
        <v>0</v>
      </c>
      <c r="K189" s="27">
        <f t="shared" si="27"/>
        <v>1524</v>
      </c>
      <c r="L189" s="27">
        <f t="shared" si="27"/>
        <v>9906</v>
      </c>
      <c r="M189" s="10" t="s">
        <v>368</v>
      </c>
      <c r="N189" s="25" t="s">
        <v>660</v>
      </c>
      <c r="O189" s="7" t="s">
        <v>776</v>
      </c>
      <c r="P189" s="7" t="s">
        <v>677</v>
      </c>
      <c r="Q189" s="7" t="s">
        <v>677</v>
      </c>
      <c r="R189" s="7" t="s">
        <v>184</v>
      </c>
      <c r="S189" s="28">
        <v>40</v>
      </c>
      <c r="T189" s="7" t="s">
        <v>677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</row>
    <row r="190" spans="1:28" ht="30" customHeight="1" x14ac:dyDescent="0.3">
      <c r="A190" s="10" t="s">
        <v>909</v>
      </c>
      <c r="B190" s="10" t="s">
        <v>192</v>
      </c>
      <c r="C190" s="10" t="s">
        <v>104</v>
      </c>
      <c r="D190" s="22">
        <v>1</v>
      </c>
      <c r="E190" s="27">
        <v>0</v>
      </c>
      <c r="F190" s="27">
        <f>ROUNDDOWN(D190*E190,2)</f>
        <v>0</v>
      </c>
      <c r="G190" s="27">
        <f>ROUNDDOWN(SUMIF(W186:W190, RIGHTB(O190, 1), H186:H190)*U190, 2)</f>
        <v>253002.14</v>
      </c>
      <c r="H190" s="27">
        <f>ROUNDDOWN(D190*G190,2)</f>
        <v>253002.14</v>
      </c>
      <c r="I190" s="27">
        <v>0</v>
      </c>
      <c r="J190" s="27">
        <f>ROUNDDOWN(D190*I190,2)</f>
        <v>0</v>
      </c>
      <c r="K190" s="27">
        <f t="shared" si="27"/>
        <v>253002.14</v>
      </c>
      <c r="L190" s="27">
        <f t="shared" si="27"/>
        <v>253002.14</v>
      </c>
      <c r="M190" s="10" t="s">
        <v>677</v>
      </c>
      <c r="N190" s="25" t="s">
        <v>660</v>
      </c>
      <c r="O190" s="7" t="s">
        <v>869</v>
      </c>
      <c r="P190" s="7" t="s">
        <v>677</v>
      </c>
      <c r="Q190" s="7" t="s">
        <v>677</v>
      </c>
      <c r="R190" s="7" t="s">
        <v>184</v>
      </c>
      <c r="S190" s="28">
        <v>50</v>
      </c>
      <c r="T190" s="7" t="s">
        <v>856</v>
      </c>
      <c r="U190" s="28">
        <v>0.5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</row>
    <row r="191" spans="1:28" ht="30" customHeight="1" x14ac:dyDescent="0.3">
      <c r="A191" s="10" t="s">
        <v>489</v>
      </c>
      <c r="B191" s="10" t="s">
        <v>677</v>
      </c>
      <c r="C191" s="10" t="s">
        <v>677</v>
      </c>
      <c r="D191" s="10" t="s">
        <v>677</v>
      </c>
      <c r="E191" s="27">
        <v>0</v>
      </c>
      <c r="F191" s="27">
        <f>ROUNDDOWN(SUMIF(R186:R190, " ", F186:F190),0)</f>
        <v>9906</v>
      </c>
      <c r="G191" s="27">
        <v>0</v>
      </c>
      <c r="H191" s="27">
        <f>ROUNDDOWN(SUMIF(R186:R190, " ", H186:H190),0)</f>
        <v>759006</v>
      </c>
      <c r="I191" s="27">
        <v>0</v>
      </c>
      <c r="J191" s="27">
        <f>ROUNDDOWN(SUMIF(R186:R190, " ", J186:J190),0)</f>
        <v>10120</v>
      </c>
      <c r="K191" s="30" t="s">
        <v>677</v>
      </c>
      <c r="L191" s="27">
        <f>F191+H191+J191</f>
        <v>779032</v>
      </c>
      <c r="M191" s="10"/>
      <c r="N191" s="9" t="s">
        <v>606</v>
      </c>
      <c r="O191" s="26" t="s">
        <v>606</v>
      </c>
    </row>
    <row r="192" spans="1:28" ht="30" customHeight="1" x14ac:dyDescent="0.3">
      <c r="A192" s="10" t="s">
        <v>677</v>
      </c>
      <c r="B192" s="10" t="s">
        <v>677</v>
      </c>
      <c r="C192" s="10" t="s">
        <v>677</v>
      </c>
      <c r="D192" s="10" t="s">
        <v>677</v>
      </c>
      <c r="E192" s="10" t="s">
        <v>677</v>
      </c>
      <c r="F192" s="10" t="s">
        <v>677</v>
      </c>
      <c r="G192" s="10" t="s">
        <v>677</v>
      </c>
      <c r="H192" s="10" t="s">
        <v>677</v>
      </c>
      <c r="I192" s="10" t="s">
        <v>677</v>
      </c>
      <c r="J192" s="10" t="s">
        <v>677</v>
      </c>
      <c r="K192" s="10" t="s">
        <v>677</v>
      </c>
      <c r="L192" s="10" t="s">
        <v>677</v>
      </c>
      <c r="M192" s="10" t="s">
        <v>677</v>
      </c>
    </row>
    <row r="193" spans="1:28" ht="30" customHeight="1" x14ac:dyDescent="0.3">
      <c r="A193" s="96" t="s">
        <v>891</v>
      </c>
      <c r="B193" s="97"/>
      <c r="C193" s="97"/>
      <c r="D193" s="97"/>
      <c r="E193" s="97"/>
      <c r="F193" s="97"/>
      <c r="G193" s="97"/>
      <c r="H193" s="97"/>
      <c r="I193" s="97"/>
      <c r="J193" s="97"/>
      <c r="K193" s="97"/>
      <c r="L193" s="97"/>
      <c r="M193" s="98"/>
      <c r="N193" s="25" t="s">
        <v>8</v>
      </c>
    </row>
    <row r="194" spans="1:28" ht="30" customHeight="1" x14ac:dyDescent="0.3">
      <c r="A194" s="10" t="s">
        <v>299</v>
      </c>
      <c r="B194" s="10" t="s">
        <v>595</v>
      </c>
      <c r="C194" s="10" t="s">
        <v>879</v>
      </c>
      <c r="D194" s="22">
        <v>0.1</v>
      </c>
      <c r="E194" s="27">
        <f>일위대가목록!E36</f>
        <v>29989</v>
      </c>
      <c r="F194" s="27">
        <f>ROUNDDOWN(D194*E194,2)</f>
        <v>2998.9</v>
      </c>
      <c r="G194" s="27">
        <f>일위대가목록!F36</f>
        <v>0</v>
      </c>
      <c r="H194" s="27">
        <f>ROUNDDOWN(D194*G194,2)</f>
        <v>0</v>
      </c>
      <c r="I194" s="27">
        <f>일위대가목록!G36</f>
        <v>0</v>
      </c>
      <c r="J194" s="27">
        <f>ROUNDDOWN(D194*I194,2)</f>
        <v>0</v>
      </c>
      <c r="K194" s="27">
        <f>ROUNDDOWN(E194+G194+I194,2)</f>
        <v>29989</v>
      </c>
      <c r="L194" s="27">
        <f>ROUNDDOWN(F194+H194+J194,2)</f>
        <v>2998.9</v>
      </c>
      <c r="M194" s="10" t="s">
        <v>177</v>
      </c>
      <c r="N194" s="25" t="s">
        <v>8</v>
      </c>
      <c r="O194" s="7" t="s">
        <v>178</v>
      </c>
      <c r="P194" s="7" t="s">
        <v>677</v>
      </c>
      <c r="Q194" s="7" t="s">
        <v>677</v>
      </c>
      <c r="R194" s="7" t="s">
        <v>184</v>
      </c>
      <c r="S194" s="28">
        <v>10</v>
      </c>
      <c r="T194" s="7" t="s">
        <v>992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</row>
    <row r="195" spans="1:28" ht="30" customHeight="1" x14ac:dyDescent="0.3">
      <c r="A195" s="10" t="s">
        <v>489</v>
      </c>
      <c r="B195" s="10" t="s">
        <v>677</v>
      </c>
      <c r="C195" s="10" t="s">
        <v>677</v>
      </c>
      <c r="D195" s="10" t="s">
        <v>677</v>
      </c>
      <c r="E195" s="27">
        <v>0</v>
      </c>
      <c r="F195" s="27">
        <f>ROUNDDOWN(SUMIF(R194:R194, " ", F194:F194),0)</f>
        <v>2998</v>
      </c>
      <c r="G195" s="27">
        <v>0</v>
      </c>
      <c r="H195" s="27">
        <f>ROUNDDOWN(SUMIF(R194:R194, " ", H194:H194),0)</f>
        <v>0</v>
      </c>
      <c r="I195" s="27">
        <v>0</v>
      </c>
      <c r="J195" s="27">
        <f>ROUNDDOWN(SUMIF(R194:R194, " ", J194:J194),0)</f>
        <v>0</v>
      </c>
      <c r="K195" s="30" t="s">
        <v>677</v>
      </c>
      <c r="L195" s="27">
        <f>F195+H195+J195</f>
        <v>2998</v>
      </c>
      <c r="M195" s="10"/>
      <c r="N195" s="9" t="s">
        <v>606</v>
      </c>
      <c r="O195" s="26" t="s">
        <v>606</v>
      </c>
    </row>
    <row r="196" spans="1:28" ht="30" customHeight="1" x14ac:dyDescent="0.3">
      <c r="A196" s="10" t="s">
        <v>677</v>
      </c>
      <c r="B196" s="10" t="s">
        <v>677</v>
      </c>
      <c r="C196" s="10" t="s">
        <v>677</v>
      </c>
      <c r="D196" s="10" t="s">
        <v>677</v>
      </c>
      <c r="E196" s="10" t="s">
        <v>677</v>
      </c>
      <c r="F196" s="10" t="s">
        <v>677</v>
      </c>
      <c r="G196" s="10" t="s">
        <v>677</v>
      </c>
      <c r="H196" s="10" t="s">
        <v>677</v>
      </c>
      <c r="I196" s="10" t="s">
        <v>677</v>
      </c>
      <c r="J196" s="10" t="s">
        <v>677</v>
      </c>
      <c r="K196" s="10" t="s">
        <v>677</v>
      </c>
      <c r="L196" s="10" t="s">
        <v>677</v>
      </c>
      <c r="M196" s="10" t="s">
        <v>677</v>
      </c>
    </row>
    <row r="197" spans="1:28" ht="30" customHeight="1" x14ac:dyDescent="0.3">
      <c r="A197" s="96" t="s">
        <v>74</v>
      </c>
      <c r="B197" s="97"/>
      <c r="C197" s="97"/>
      <c r="D197" s="97"/>
      <c r="E197" s="97"/>
      <c r="F197" s="97"/>
      <c r="G197" s="97"/>
      <c r="H197" s="97"/>
      <c r="I197" s="97"/>
      <c r="J197" s="97"/>
      <c r="K197" s="97"/>
      <c r="L197" s="97"/>
      <c r="M197" s="98"/>
      <c r="N197" s="25" t="s">
        <v>178</v>
      </c>
    </row>
    <row r="198" spans="1:28" ht="30" customHeight="1" x14ac:dyDescent="0.3">
      <c r="A198" s="10" t="s">
        <v>386</v>
      </c>
      <c r="B198" s="10" t="s">
        <v>6</v>
      </c>
      <c r="C198" s="10" t="s">
        <v>439</v>
      </c>
      <c r="D198" s="22">
        <v>0.89</v>
      </c>
      <c r="E198" s="27">
        <f>단가대비표!U22</f>
        <v>25500</v>
      </c>
      <c r="F198" s="27">
        <f>ROUNDDOWN(D198*E198,2)</f>
        <v>22695</v>
      </c>
      <c r="G198" s="27">
        <f>단가대비표!V22</f>
        <v>0</v>
      </c>
      <c r="H198" s="27">
        <f>ROUNDDOWN(D198*G198,2)</f>
        <v>0</v>
      </c>
      <c r="I198" s="27">
        <f>단가대비표!AE22</f>
        <v>0</v>
      </c>
      <c r="J198" s="27">
        <f>ROUNDDOWN(D198*I198,2)</f>
        <v>0</v>
      </c>
      <c r="K198" s="27">
        <f t="shared" ref="K198:L201" si="28">ROUNDDOWN(E198+G198+I198,2)</f>
        <v>25500</v>
      </c>
      <c r="L198" s="27">
        <f t="shared" si="28"/>
        <v>22695</v>
      </c>
      <c r="M198" s="10" t="s">
        <v>400</v>
      </c>
      <c r="N198" s="25" t="s">
        <v>178</v>
      </c>
      <c r="O198" s="7" t="s">
        <v>201</v>
      </c>
      <c r="P198" s="7" t="s">
        <v>677</v>
      </c>
      <c r="Q198" s="7" t="s">
        <v>677</v>
      </c>
      <c r="R198" s="7" t="s">
        <v>184</v>
      </c>
      <c r="S198" s="28">
        <v>10</v>
      </c>
      <c r="T198" s="7" t="s">
        <v>677</v>
      </c>
      <c r="U198" s="28">
        <v>0</v>
      </c>
      <c r="V198" s="28">
        <v>1</v>
      </c>
      <c r="W198" s="28">
        <v>2</v>
      </c>
      <c r="X198" s="28">
        <v>0</v>
      </c>
      <c r="Y198" s="28">
        <v>0</v>
      </c>
      <c r="Z198" s="28">
        <v>0</v>
      </c>
      <c r="AA198" s="28">
        <v>0</v>
      </c>
      <c r="AB198" s="28">
        <v>0</v>
      </c>
    </row>
    <row r="199" spans="1:28" ht="30" customHeight="1" x14ac:dyDescent="0.3">
      <c r="A199" s="10" t="s">
        <v>386</v>
      </c>
      <c r="B199" s="10" t="s">
        <v>632</v>
      </c>
      <c r="C199" s="10" t="s">
        <v>439</v>
      </c>
      <c r="D199" s="22">
        <v>0.03</v>
      </c>
      <c r="E199" s="27">
        <f>단가대비표!U23</f>
        <v>18410</v>
      </c>
      <c r="F199" s="27">
        <f>ROUNDDOWN(D199*E199,2)</f>
        <v>552.29999999999995</v>
      </c>
      <c r="G199" s="27">
        <f>단가대비표!V23</f>
        <v>0</v>
      </c>
      <c r="H199" s="27">
        <f>ROUNDDOWN(D199*G199,2)</f>
        <v>0</v>
      </c>
      <c r="I199" s="27">
        <f>단가대비표!AE23</f>
        <v>0</v>
      </c>
      <c r="J199" s="27">
        <f>ROUNDDOWN(D199*I199,2)</f>
        <v>0</v>
      </c>
      <c r="K199" s="27">
        <f t="shared" si="28"/>
        <v>18410</v>
      </c>
      <c r="L199" s="27">
        <f t="shared" si="28"/>
        <v>552.29999999999995</v>
      </c>
      <c r="M199" s="10" t="s">
        <v>374</v>
      </c>
      <c r="N199" s="25" t="s">
        <v>178</v>
      </c>
      <c r="O199" s="7" t="s">
        <v>353</v>
      </c>
      <c r="P199" s="7" t="s">
        <v>677</v>
      </c>
      <c r="Q199" s="7" t="s">
        <v>677</v>
      </c>
      <c r="R199" s="7" t="s">
        <v>184</v>
      </c>
      <c r="S199" s="28">
        <v>20</v>
      </c>
      <c r="T199" s="7" t="s">
        <v>677</v>
      </c>
      <c r="U199" s="28">
        <v>0</v>
      </c>
      <c r="V199" s="28">
        <v>1</v>
      </c>
      <c r="W199" s="28">
        <v>2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</row>
    <row r="200" spans="1:28" ht="30" customHeight="1" x14ac:dyDescent="0.3">
      <c r="A200" s="10" t="s">
        <v>426</v>
      </c>
      <c r="B200" s="10" t="s">
        <v>557</v>
      </c>
      <c r="C200" s="10" t="s">
        <v>104</v>
      </c>
      <c r="D200" s="22">
        <v>1</v>
      </c>
      <c r="E200" s="27">
        <f>ROUNDDOWN(SUMIF(V198:V201, RIGHTB(O200, 1), F198:F201)*U200, 2)</f>
        <v>5579.35</v>
      </c>
      <c r="F200" s="27">
        <f>ROUNDDOWN(D200*E200,2)</f>
        <v>5579.35</v>
      </c>
      <c r="G200" s="27">
        <v>0</v>
      </c>
      <c r="H200" s="27">
        <f>ROUNDDOWN(D200*G200,2)</f>
        <v>0</v>
      </c>
      <c r="I200" s="27">
        <v>0</v>
      </c>
      <c r="J200" s="27">
        <f>ROUNDDOWN(D200*I200,2)</f>
        <v>0</v>
      </c>
      <c r="K200" s="27">
        <f t="shared" si="28"/>
        <v>5579.35</v>
      </c>
      <c r="L200" s="27">
        <f t="shared" si="28"/>
        <v>5579.35</v>
      </c>
      <c r="M200" s="10"/>
      <c r="N200" s="25" t="s">
        <v>178</v>
      </c>
      <c r="O200" s="7" t="s">
        <v>459</v>
      </c>
      <c r="P200" s="7" t="s">
        <v>677</v>
      </c>
      <c r="Q200" s="7" t="s">
        <v>677</v>
      </c>
      <c r="R200" s="7" t="s">
        <v>184</v>
      </c>
      <c r="S200" s="28">
        <v>30</v>
      </c>
      <c r="T200" s="7" t="s">
        <v>367</v>
      </c>
      <c r="U200" s="28">
        <v>0.24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</row>
    <row r="201" spans="1:28" ht="30" customHeight="1" x14ac:dyDescent="0.3">
      <c r="A201" s="10" t="s">
        <v>15</v>
      </c>
      <c r="B201" s="10" t="s">
        <v>397</v>
      </c>
      <c r="C201" s="10" t="s">
        <v>104</v>
      </c>
      <c r="D201" s="22">
        <v>1</v>
      </c>
      <c r="E201" s="27">
        <f>ROUNDDOWN(SUMIF(W198:W201, RIGHTB(O201, 1), F198:F201)*U201, 2)</f>
        <v>1162.3599999999999</v>
      </c>
      <c r="F201" s="27">
        <f>ROUNDDOWN(D201*E201,2)</f>
        <v>1162.3599999999999</v>
      </c>
      <c r="G201" s="27">
        <v>0</v>
      </c>
      <c r="H201" s="27">
        <f>ROUNDDOWN(D201*G201,2)</f>
        <v>0</v>
      </c>
      <c r="I201" s="27">
        <v>0</v>
      </c>
      <c r="J201" s="27">
        <f>ROUNDDOWN(D201*I201,2)</f>
        <v>0</v>
      </c>
      <c r="K201" s="27">
        <f t="shared" si="28"/>
        <v>1162.3599999999999</v>
      </c>
      <c r="L201" s="27">
        <f t="shared" si="28"/>
        <v>1162.3599999999999</v>
      </c>
      <c r="M201" s="10"/>
      <c r="N201" s="25" t="s">
        <v>178</v>
      </c>
      <c r="O201" s="7" t="s">
        <v>869</v>
      </c>
      <c r="P201" s="7" t="s">
        <v>677</v>
      </c>
      <c r="Q201" s="7" t="s">
        <v>677</v>
      </c>
      <c r="R201" s="7" t="s">
        <v>184</v>
      </c>
      <c r="S201" s="28">
        <v>40</v>
      </c>
      <c r="T201" s="7" t="s">
        <v>404</v>
      </c>
      <c r="U201" s="28">
        <v>0.05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</row>
    <row r="202" spans="1:28" ht="30" customHeight="1" x14ac:dyDescent="0.3">
      <c r="A202" s="10" t="s">
        <v>489</v>
      </c>
      <c r="B202" s="10" t="s">
        <v>677</v>
      </c>
      <c r="C202" s="10" t="s">
        <v>677</v>
      </c>
      <c r="D202" s="10" t="s">
        <v>677</v>
      </c>
      <c r="E202" s="27">
        <v>0</v>
      </c>
      <c r="F202" s="27">
        <f>ROUNDDOWN(SUMIF(R198:R201, " ", F198:F201),0)</f>
        <v>29989</v>
      </c>
      <c r="G202" s="27">
        <v>0</v>
      </c>
      <c r="H202" s="27">
        <f>ROUNDDOWN(SUMIF(R198:R201, " ", H198:H201),0)</f>
        <v>0</v>
      </c>
      <c r="I202" s="27">
        <v>0</v>
      </c>
      <c r="J202" s="27">
        <f>ROUNDDOWN(SUMIF(R198:R201, " ", J198:J201),0)</f>
        <v>0</v>
      </c>
      <c r="K202" s="30" t="s">
        <v>677</v>
      </c>
      <c r="L202" s="27">
        <f>F202+H202+J202</f>
        <v>29989</v>
      </c>
      <c r="M202" s="10"/>
      <c r="N202" s="9" t="s">
        <v>606</v>
      </c>
      <c r="O202" s="26" t="s">
        <v>606</v>
      </c>
    </row>
    <row r="203" spans="1:28" ht="30" customHeight="1" x14ac:dyDescent="0.3">
      <c r="A203" s="10" t="s">
        <v>677</v>
      </c>
      <c r="B203" s="10" t="s">
        <v>677</v>
      </c>
      <c r="C203" s="10" t="s">
        <v>677</v>
      </c>
      <c r="D203" s="10" t="s">
        <v>677</v>
      </c>
      <c r="E203" s="10" t="s">
        <v>677</v>
      </c>
      <c r="F203" s="10" t="s">
        <v>677</v>
      </c>
      <c r="G203" s="10" t="s">
        <v>677</v>
      </c>
      <c r="H203" s="10" t="s">
        <v>677</v>
      </c>
      <c r="I203" s="10" t="s">
        <v>677</v>
      </c>
      <c r="J203" s="10" t="s">
        <v>677</v>
      </c>
      <c r="K203" s="10" t="s">
        <v>677</v>
      </c>
      <c r="L203" s="10" t="s">
        <v>677</v>
      </c>
      <c r="M203" s="10" t="s">
        <v>677</v>
      </c>
    </row>
    <row r="204" spans="1:28" ht="30" customHeight="1" x14ac:dyDescent="0.3">
      <c r="A204" s="96" t="s">
        <v>392</v>
      </c>
      <c r="B204" s="97"/>
      <c r="C204" s="97"/>
      <c r="D204" s="97"/>
      <c r="E204" s="97"/>
      <c r="F204" s="97"/>
      <c r="G204" s="97"/>
      <c r="H204" s="97"/>
      <c r="I204" s="97"/>
      <c r="J204" s="97"/>
      <c r="K204" s="97"/>
      <c r="L204" s="97"/>
      <c r="M204" s="98"/>
      <c r="N204" s="25" t="s">
        <v>787</v>
      </c>
    </row>
    <row r="205" spans="1:28" ht="30" customHeight="1" x14ac:dyDescent="0.3">
      <c r="A205" s="10" t="s">
        <v>280</v>
      </c>
      <c r="B205" s="10" t="s">
        <v>220</v>
      </c>
      <c r="C205" s="10" t="s">
        <v>526</v>
      </c>
      <c r="D205" s="22">
        <v>0.1</v>
      </c>
      <c r="E205" s="27">
        <f>단가대비표!U40</f>
        <v>0</v>
      </c>
      <c r="F205" s="27">
        <f>ROUNDDOWN(D205*E205,2)</f>
        <v>0</v>
      </c>
      <c r="G205" s="27">
        <f>단가대비표!V40</f>
        <v>246376</v>
      </c>
      <c r="H205" s="27">
        <f>ROUNDDOWN(D205*G205,2)</f>
        <v>24637.599999999999</v>
      </c>
      <c r="I205" s="27">
        <f>단가대비표!AE40</f>
        <v>0</v>
      </c>
      <c r="J205" s="27">
        <f>ROUNDDOWN(D205*I205,2)</f>
        <v>0</v>
      </c>
      <c r="K205" s="27">
        <f t="shared" ref="K205:L207" si="29">ROUNDDOWN(E205+G205+I205,2)</f>
        <v>246376</v>
      </c>
      <c r="L205" s="27">
        <f t="shared" si="29"/>
        <v>24637.599999999999</v>
      </c>
      <c r="M205" s="10" t="s">
        <v>518</v>
      </c>
      <c r="N205" s="25" t="s">
        <v>787</v>
      </c>
      <c r="O205" s="7" t="s">
        <v>540</v>
      </c>
      <c r="P205" s="7" t="s">
        <v>677</v>
      </c>
      <c r="Q205" s="7" t="s">
        <v>677</v>
      </c>
      <c r="R205" s="7" t="s">
        <v>184</v>
      </c>
      <c r="S205" s="28">
        <v>10</v>
      </c>
      <c r="T205" s="7" t="s">
        <v>992</v>
      </c>
      <c r="U205" s="28">
        <v>0</v>
      </c>
      <c r="V205" s="28">
        <v>1</v>
      </c>
      <c r="W205" s="28">
        <v>0</v>
      </c>
      <c r="X205" s="28">
        <v>0</v>
      </c>
      <c r="Y205" s="28">
        <v>0</v>
      </c>
      <c r="Z205" s="28">
        <v>0</v>
      </c>
      <c r="AA205" s="28">
        <v>0</v>
      </c>
      <c r="AB205" s="28">
        <v>0</v>
      </c>
    </row>
    <row r="206" spans="1:28" ht="30" customHeight="1" x14ac:dyDescent="0.3">
      <c r="A206" s="10" t="s">
        <v>977</v>
      </c>
      <c r="B206" s="10" t="s">
        <v>220</v>
      </c>
      <c r="C206" s="10" t="s">
        <v>526</v>
      </c>
      <c r="D206" s="22">
        <v>0.02</v>
      </c>
      <c r="E206" s="27">
        <f>단가대비표!U37</f>
        <v>0</v>
      </c>
      <c r="F206" s="27">
        <f>ROUNDDOWN(D206*E206,2)</f>
        <v>0</v>
      </c>
      <c r="G206" s="27">
        <f>단가대비표!V37</f>
        <v>153671</v>
      </c>
      <c r="H206" s="27">
        <f>ROUNDDOWN(D206*G206,2)</f>
        <v>3073.42</v>
      </c>
      <c r="I206" s="27">
        <f>단가대비표!AE37</f>
        <v>0</v>
      </c>
      <c r="J206" s="27">
        <f>ROUNDDOWN(D206*I206,2)</f>
        <v>0</v>
      </c>
      <c r="K206" s="27">
        <f t="shared" si="29"/>
        <v>153671</v>
      </c>
      <c r="L206" s="27">
        <f t="shared" si="29"/>
        <v>3073.42</v>
      </c>
      <c r="M206" s="10" t="s">
        <v>122</v>
      </c>
      <c r="N206" s="25" t="s">
        <v>787</v>
      </c>
      <c r="O206" s="7" t="s">
        <v>43</v>
      </c>
      <c r="P206" s="7" t="s">
        <v>677</v>
      </c>
      <c r="Q206" s="7" t="s">
        <v>677</v>
      </c>
      <c r="R206" s="7" t="s">
        <v>184</v>
      </c>
      <c r="S206" s="28">
        <v>20</v>
      </c>
      <c r="T206" s="7" t="s">
        <v>677</v>
      </c>
      <c r="U206" s="28">
        <v>0</v>
      </c>
      <c r="V206" s="28">
        <v>1</v>
      </c>
      <c r="W206" s="28">
        <v>0</v>
      </c>
      <c r="X206" s="28">
        <v>0</v>
      </c>
      <c r="Y206" s="28">
        <v>0</v>
      </c>
      <c r="Z206" s="28">
        <v>0</v>
      </c>
      <c r="AA206" s="28">
        <v>0</v>
      </c>
      <c r="AB206" s="28">
        <v>0</v>
      </c>
    </row>
    <row r="207" spans="1:28" ht="30" customHeight="1" x14ac:dyDescent="0.3">
      <c r="A207" s="10" t="s">
        <v>941</v>
      </c>
      <c r="B207" s="10" t="s">
        <v>295</v>
      </c>
      <c r="C207" s="10" t="s">
        <v>104</v>
      </c>
      <c r="D207" s="22">
        <v>1</v>
      </c>
      <c r="E207" s="27">
        <v>0</v>
      </c>
      <c r="F207" s="27">
        <f>ROUNDDOWN(D207*E207,2)</f>
        <v>0</v>
      </c>
      <c r="G207" s="27">
        <v>0</v>
      </c>
      <c r="H207" s="27">
        <f>ROUNDDOWN(D207*G207,2)</f>
        <v>0</v>
      </c>
      <c r="I207" s="27">
        <f>ROUNDDOWN(SUMIF(V205:V207, RIGHTB(O207, 1), H205:H207)*U207, 2)</f>
        <v>831.33</v>
      </c>
      <c r="J207" s="27">
        <f>ROUNDDOWN(D207*I207,2)</f>
        <v>831.33</v>
      </c>
      <c r="K207" s="27">
        <f t="shared" si="29"/>
        <v>831.33</v>
      </c>
      <c r="L207" s="27">
        <f t="shared" si="29"/>
        <v>831.33</v>
      </c>
      <c r="M207" s="10"/>
      <c r="N207" s="25" t="s">
        <v>787</v>
      </c>
      <c r="O207" s="7" t="s">
        <v>459</v>
      </c>
      <c r="P207" s="7" t="s">
        <v>677</v>
      </c>
      <c r="Q207" s="7" t="s">
        <v>677</v>
      </c>
      <c r="R207" s="7" t="s">
        <v>184</v>
      </c>
      <c r="S207" s="28">
        <v>30</v>
      </c>
      <c r="T207" s="7" t="s">
        <v>541</v>
      </c>
      <c r="U207" s="28">
        <v>0.03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</row>
    <row r="208" spans="1:28" ht="30" customHeight="1" x14ac:dyDescent="0.3">
      <c r="A208" s="10" t="s">
        <v>489</v>
      </c>
      <c r="B208" s="10" t="s">
        <v>677</v>
      </c>
      <c r="C208" s="10" t="s">
        <v>677</v>
      </c>
      <c r="D208" s="10" t="s">
        <v>677</v>
      </c>
      <c r="E208" s="27">
        <v>0</v>
      </c>
      <c r="F208" s="27">
        <f>ROUNDDOWN(SUMIF(R205:R207, " ", F205:F207),0)</f>
        <v>0</v>
      </c>
      <c r="G208" s="27">
        <v>0</v>
      </c>
      <c r="H208" s="27">
        <f>ROUNDDOWN(SUMIF(R205:R207, " ", H205:H207),0)</f>
        <v>27711</v>
      </c>
      <c r="I208" s="27">
        <v>0</v>
      </c>
      <c r="J208" s="27">
        <f>ROUNDDOWN(SUMIF(R205:R207, " ", J205:J207),0)</f>
        <v>831</v>
      </c>
      <c r="K208" s="30" t="s">
        <v>677</v>
      </c>
      <c r="L208" s="27">
        <f>F208+H208+J208</f>
        <v>28542</v>
      </c>
      <c r="M208" s="10"/>
      <c r="N208" s="9" t="s">
        <v>606</v>
      </c>
      <c r="O208" s="26" t="s">
        <v>606</v>
      </c>
    </row>
    <row r="209" spans="1:28" ht="30" customHeight="1" x14ac:dyDescent="0.3">
      <c r="A209" s="10" t="s">
        <v>677</v>
      </c>
      <c r="B209" s="10" t="s">
        <v>677</v>
      </c>
      <c r="C209" s="10" t="s">
        <v>677</v>
      </c>
      <c r="D209" s="10" t="s">
        <v>677</v>
      </c>
      <c r="E209" s="10" t="s">
        <v>677</v>
      </c>
      <c r="F209" s="10" t="s">
        <v>677</v>
      </c>
      <c r="G209" s="10" t="s">
        <v>677</v>
      </c>
      <c r="H209" s="10" t="s">
        <v>677</v>
      </c>
      <c r="I209" s="10" t="s">
        <v>677</v>
      </c>
      <c r="J209" s="10" t="s">
        <v>677</v>
      </c>
      <c r="K209" s="10" t="s">
        <v>677</v>
      </c>
      <c r="L209" s="10" t="s">
        <v>677</v>
      </c>
      <c r="M209" s="10" t="s">
        <v>677</v>
      </c>
    </row>
    <row r="210" spans="1:28" ht="30" customHeight="1" x14ac:dyDescent="0.3">
      <c r="A210" s="96" t="s">
        <v>346</v>
      </c>
      <c r="B210" s="97"/>
      <c r="C210" s="97"/>
      <c r="D210" s="97"/>
      <c r="E210" s="97"/>
      <c r="F210" s="97"/>
      <c r="G210" s="97"/>
      <c r="H210" s="97"/>
      <c r="I210" s="97"/>
      <c r="J210" s="97"/>
      <c r="K210" s="97"/>
      <c r="L210" s="97"/>
      <c r="M210" s="98"/>
      <c r="N210" s="25" t="s">
        <v>765</v>
      </c>
    </row>
    <row r="211" spans="1:28" ht="30" customHeight="1" x14ac:dyDescent="0.3">
      <c r="A211" s="10" t="s">
        <v>631</v>
      </c>
      <c r="B211" s="10" t="s">
        <v>666</v>
      </c>
      <c r="C211" s="10" t="s">
        <v>796</v>
      </c>
      <c r="D211" s="22">
        <v>0.20849999999999999</v>
      </c>
      <c r="E211" s="27">
        <f>단가대비표!U55</f>
        <v>0</v>
      </c>
      <c r="F211" s="27">
        <f>ROUNDDOWN(D211*E211,2)</f>
        <v>0</v>
      </c>
      <c r="G211" s="27">
        <f>단가대비표!V55</f>
        <v>0</v>
      </c>
      <c r="H211" s="27">
        <f>ROUNDDOWN(D211*G211,2)</f>
        <v>0</v>
      </c>
      <c r="I211" s="27">
        <f>단가대비표!AE55</f>
        <v>42057</v>
      </c>
      <c r="J211" s="27">
        <f>ROUNDDOWN(D211*I211,2)</f>
        <v>8768.8799999999992</v>
      </c>
      <c r="K211" s="27">
        <f t="shared" ref="K211:L214" si="30">ROUNDDOWN(E211+G211+I211,2)</f>
        <v>42057</v>
      </c>
      <c r="L211" s="27">
        <f t="shared" si="30"/>
        <v>8768.8799999999992</v>
      </c>
      <c r="M211" s="10" t="s">
        <v>406</v>
      </c>
      <c r="N211" s="25" t="s">
        <v>765</v>
      </c>
      <c r="O211" s="7" t="s">
        <v>160</v>
      </c>
      <c r="P211" s="7" t="s">
        <v>677</v>
      </c>
      <c r="Q211" s="7" t="s">
        <v>677</v>
      </c>
      <c r="R211" s="7" t="s">
        <v>184</v>
      </c>
      <c r="S211" s="28">
        <v>10</v>
      </c>
      <c r="T211" s="7" t="s">
        <v>677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</row>
    <row r="212" spans="1:28" ht="30" customHeight="1" x14ac:dyDescent="0.3">
      <c r="A212" s="10" t="s">
        <v>1003</v>
      </c>
      <c r="B212" s="10" t="s">
        <v>220</v>
      </c>
      <c r="C212" s="10" t="s">
        <v>526</v>
      </c>
      <c r="D212" s="22">
        <v>1</v>
      </c>
      <c r="E212" s="27">
        <f>단가대비표!U52*1/8*16/12*25/20</f>
        <v>0</v>
      </c>
      <c r="F212" s="27">
        <f>ROUNDDOWN(D212*E212,2)</f>
        <v>0</v>
      </c>
      <c r="G212" s="27">
        <f>단가대비표!V52*1/8*16/12*25/20</f>
        <v>47967.708333333328</v>
      </c>
      <c r="H212" s="27">
        <f>ROUNDDOWN(D212*G212,2)</f>
        <v>47967.7</v>
      </c>
      <c r="I212" s="27">
        <f>단가대비표!AE52*1/8*16/12*25/20</f>
        <v>0</v>
      </c>
      <c r="J212" s="27">
        <f>ROUNDDOWN(D212*I212,2)</f>
        <v>0</v>
      </c>
      <c r="K212" s="27">
        <f t="shared" si="30"/>
        <v>47967.7</v>
      </c>
      <c r="L212" s="27">
        <f t="shared" si="30"/>
        <v>47967.7</v>
      </c>
      <c r="M212" s="10" t="s">
        <v>310</v>
      </c>
      <c r="N212" s="25" t="s">
        <v>765</v>
      </c>
      <c r="O212" s="7" t="s">
        <v>258</v>
      </c>
      <c r="P212" s="7" t="s">
        <v>677</v>
      </c>
      <c r="Q212" s="7" t="s">
        <v>677</v>
      </c>
      <c r="R212" s="7" t="s">
        <v>184</v>
      </c>
      <c r="S212" s="28">
        <v>20</v>
      </c>
      <c r="T212" s="7" t="s">
        <v>677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</row>
    <row r="213" spans="1:28" ht="30" customHeight="1" x14ac:dyDescent="0.3">
      <c r="A213" s="10" t="s">
        <v>417</v>
      </c>
      <c r="B213" s="10" t="s">
        <v>391</v>
      </c>
      <c r="C213" s="10" t="s">
        <v>240</v>
      </c>
      <c r="D213" s="22">
        <v>3.2</v>
      </c>
      <c r="E213" s="27">
        <f>단가대비표!U10</f>
        <v>1772.72</v>
      </c>
      <c r="F213" s="27">
        <f>ROUNDDOWN(D213*E213,2)</f>
        <v>5672.7</v>
      </c>
      <c r="G213" s="27">
        <f>단가대비표!V10</f>
        <v>0</v>
      </c>
      <c r="H213" s="27">
        <f>ROUNDDOWN(D213*G213,2)</f>
        <v>0</v>
      </c>
      <c r="I213" s="27">
        <f>단가대비표!AE10</f>
        <v>0</v>
      </c>
      <c r="J213" s="27">
        <f>ROUNDDOWN(D213*I213,2)</f>
        <v>0</v>
      </c>
      <c r="K213" s="27">
        <f t="shared" si="30"/>
        <v>1772.72</v>
      </c>
      <c r="L213" s="27">
        <f t="shared" si="30"/>
        <v>5672.7</v>
      </c>
      <c r="M213" s="10" t="s">
        <v>164</v>
      </c>
      <c r="N213" s="25" t="s">
        <v>765</v>
      </c>
      <c r="O213" s="7" t="s">
        <v>710</v>
      </c>
      <c r="P213" s="7" t="s">
        <v>677</v>
      </c>
      <c r="Q213" s="7" t="s">
        <v>677</v>
      </c>
      <c r="R213" s="7" t="s">
        <v>184</v>
      </c>
      <c r="S213" s="28">
        <v>30</v>
      </c>
      <c r="T213" s="7" t="s">
        <v>677</v>
      </c>
      <c r="U213" s="28">
        <v>0</v>
      </c>
      <c r="V213" s="28">
        <v>1</v>
      </c>
      <c r="W213" s="28">
        <v>0</v>
      </c>
      <c r="X213" s="28">
        <v>0</v>
      </c>
      <c r="Y213" s="28">
        <v>0</v>
      </c>
      <c r="Z213" s="28">
        <v>0</v>
      </c>
      <c r="AA213" s="28">
        <v>0</v>
      </c>
      <c r="AB213" s="28">
        <v>0</v>
      </c>
    </row>
    <row r="214" spans="1:28" ht="30" customHeight="1" x14ac:dyDescent="0.3">
      <c r="A214" s="10" t="s">
        <v>78</v>
      </c>
      <c r="B214" s="10" t="s">
        <v>114</v>
      </c>
      <c r="C214" s="10" t="s">
        <v>104</v>
      </c>
      <c r="D214" s="22">
        <v>1</v>
      </c>
      <c r="E214" s="27">
        <f>ROUNDDOWN(SUMIF(V211:V214, RIGHTB(O214, 1), F211:F214)*U214, 2)</f>
        <v>1191.26</v>
      </c>
      <c r="F214" s="27">
        <f>ROUNDDOWN(D214*E214,2)</f>
        <v>1191.26</v>
      </c>
      <c r="G214" s="27">
        <v>0</v>
      </c>
      <c r="H214" s="27">
        <f>ROUNDDOWN(D214*G214,2)</f>
        <v>0</v>
      </c>
      <c r="I214" s="27">
        <v>0</v>
      </c>
      <c r="J214" s="27">
        <f>ROUNDDOWN(D214*I214,2)</f>
        <v>0</v>
      </c>
      <c r="K214" s="27">
        <f t="shared" si="30"/>
        <v>1191.26</v>
      </c>
      <c r="L214" s="27">
        <f t="shared" si="30"/>
        <v>1191.26</v>
      </c>
      <c r="M214" s="10"/>
      <c r="N214" s="25" t="s">
        <v>765</v>
      </c>
      <c r="O214" s="7" t="s">
        <v>459</v>
      </c>
      <c r="P214" s="7" t="s">
        <v>677</v>
      </c>
      <c r="Q214" s="7" t="s">
        <v>677</v>
      </c>
      <c r="R214" s="7" t="s">
        <v>184</v>
      </c>
      <c r="S214" s="28">
        <v>40</v>
      </c>
      <c r="T214" s="7" t="s">
        <v>317</v>
      </c>
      <c r="U214" s="28">
        <v>0.21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</row>
    <row r="215" spans="1:28" ht="30" customHeight="1" x14ac:dyDescent="0.3">
      <c r="A215" s="10" t="s">
        <v>489</v>
      </c>
      <c r="B215" s="10" t="s">
        <v>677</v>
      </c>
      <c r="C215" s="10" t="s">
        <v>677</v>
      </c>
      <c r="D215" s="10" t="s">
        <v>677</v>
      </c>
      <c r="E215" s="27">
        <v>0</v>
      </c>
      <c r="F215" s="27">
        <f>ROUNDDOWN(SUMIF(R211:R214, " ", F211:F214),0)</f>
        <v>6863</v>
      </c>
      <c r="G215" s="27">
        <v>0</v>
      </c>
      <c r="H215" s="27">
        <f>ROUNDDOWN(SUMIF(R211:R214, " ", H211:H214),0)</f>
        <v>47967</v>
      </c>
      <c r="I215" s="27">
        <v>0</v>
      </c>
      <c r="J215" s="27">
        <f>ROUNDDOWN(SUMIF(R211:R214, " ", J211:J214),0)</f>
        <v>8768</v>
      </c>
      <c r="K215" s="30" t="s">
        <v>677</v>
      </c>
      <c r="L215" s="27">
        <f>F215+H215+J215</f>
        <v>63598</v>
      </c>
      <c r="M215" s="10"/>
      <c r="N215" s="9" t="s">
        <v>606</v>
      </c>
      <c r="O215" s="26" t="s">
        <v>606</v>
      </c>
    </row>
    <row r="216" spans="1:28" ht="30" customHeight="1" x14ac:dyDescent="0.3">
      <c r="A216" s="10" t="s">
        <v>677</v>
      </c>
      <c r="B216" s="10" t="s">
        <v>677</v>
      </c>
      <c r="C216" s="10" t="s">
        <v>677</v>
      </c>
      <c r="D216" s="10" t="s">
        <v>677</v>
      </c>
      <c r="E216" s="10" t="s">
        <v>677</v>
      </c>
      <c r="F216" s="10" t="s">
        <v>677</v>
      </c>
      <c r="G216" s="10" t="s">
        <v>677</v>
      </c>
      <c r="H216" s="10" t="s">
        <v>677</v>
      </c>
      <c r="I216" s="10" t="s">
        <v>677</v>
      </c>
      <c r="J216" s="10" t="s">
        <v>677</v>
      </c>
      <c r="K216" s="10" t="s">
        <v>677</v>
      </c>
      <c r="L216" s="10" t="s">
        <v>677</v>
      </c>
      <c r="M216" s="10" t="s">
        <v>677</v>
      </c>
    </row>
    <row r="217" spans="1:28" ht="30" customHeight="1" x14ac:dyDescent="0.3">
      <c r="A217" s="96" t="s">
        <v>896</v>
      </c>
      <c r="B217" s="97"/>
      <c r="C217" s="97"/>
      <c r="D217" s="97"/>
      <c r="E217" s="97"/>
      <c r="F217" s="97"/>
      <c r="G217" s="97"/>
      <c r="H217" s="97"/>
      <c r="I217" s="97"/>
      <c r="J217" s="97"/>
      <c r="K217" s="97"/>
      <c r="L217" s="97"/>
      <c r="M217" s="98"/>
      <c r="N217" s="25" t="s">
        <v>200</v>
      </c>
    </row>
    <row r="218" spans="1:28" ht="30" customHeight="1" x14ac:dyDescent="0.3">
      <c r="A218" s="10" t="s">
        <v>631</v>
      </c>
      <c r="B218" s="10" t="s">
        <v>624</v>
      </c>
      <c r="C218" s="10" t="s">
        <v>796</v>
      </c>
      <c r="D218" s="22">
        <v>0.20849999999999999</v>
      </c>
      <c r="E218" s="27">
        <f>단가대비표!U56</f>
        <v>0</v>
      </c>
      <c r="F218" s="27">
        <f>ROUNDDOWN(D218*E218,2)</f>
        <v>0</v>
      </c>
      <c r="G218" s="27">
        <f>단가대비표!V56</f>
        <v>0</v>
      </c>
      <c r="H218" s="27">
        <f>ROUNDDOWN(D218*G218,2)</f>
        <v>0</v>
      </c>
      <c r="I218" s="27">
        <f>단가대비표!AE56</f>
        <v>60857</v>
      </c>
      <c r="J218" s="27">
        <f>ROUNDDOWN(D218*I218,2)</f>
        <v>12688.68</v>
      </c>
      <c r="K218" s="27">
        <f t="shared" ref="K218:L221" si="31">ROUNDDOWN(E218+G218+I218,2)</f>
        <v>60857</v>
      </c>
      <c r="L218" s="27">
        <f t="shared" si="31"/>
        <v>12688.68</v>
      </c>
      <c r="M218" s="10" t="s">
        <v>797</v>
      </c>
      <c r="N218" s="25" t="s">
        <v>200</v>
      </c>
      <c r="O218" s="7" t="s">
        <v>929</v>
      </c>
      <c r="P218" s="7" t="s">
        <v>677</v>
      </c>
      <c r="Q218" s="7" t="s">
        <v>677</v>
      </c>
      <c r="R218" s="7" t="s">
        <v>184</v>
      </c>
      <c r="S218" s="28">
        <v>10</v>
      </c>
      <c r="T218" s="7" t="s">
        <v>677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8">
        <v>0</v>
      </c>
      <c r="AB218" s="28">
        <v>0</v>
      </c>
    </row>
    <row r="219" spans="1:28" ht="30" customHeight="1" x14ac:dyDescent="0.3">
      <c r="A219" s="10" t="s">
        <v>1003</v>
      </c>
      <c r="B219" s="10" t="s">
        <v>220</v>
      </c>
      <c r="C219" s="10" t="s">
        <v>526</v>
      </c>
      <c r="D219" s="22">
        <v>1</v>
      </c>
      <c r="E219" s="27">
        <f>단가대비표!U52*1/8*16/12*25/20</f>
        <v>0</v>
      </c>
      <c r="F219" s="27">
        <f>ROUNDDOWN(D219*E219,2)</f>
        <v>0</v>
      </c>
      <c r="G219" s="27">
        <f>단가대비표!V52*1/8*16/12*25/20</f>
        <v>47967.708333333328</v>
      </c>
      <c r="H219" s="27">
        <f>ROUNDDOWN(D219*G219,2)</f>
        <v>47967.7</v>
      </c>
      <c r="I219" s="27">
        <f>단가대비표!AE52*1/8*16/12*25/20</f>
        <v>0</v>
      </c>
      <c r="J219" s="27">
        <f>ROUNDDOWN(D219*I219,2)</f>
        <v>0</v>
      </c>
      <c r="K219" s="27">
        <f t="shared" si="31"/>
        <v>47967.7</v>
      </c>
      <c r="L219" s="27">
        <f t="shared" si="31"/>
        <v>47967.7</v>
      </c>
      <c r="M219" s="10" t="s">
        <v>310</v>
      </c>
      <c r="N219" s="25" t="s">
        <v>200</v>
      </c>
      <c r="O219" s="7" t="s">
        <v>258</v>
      </c>
      <c r="P219" s="7" t="s">
        <v>677</v>
      </c>
      <c r="Q219" s="7" t="s">
        <v>677</v>
      </c>
      <c r="R219" s="7" t="s">
        <v>184</v>
      </c>
      <c r="S219" s="28">
        <v>20</v>
      </c>
      <c r="T219" s="7" t="s">
        <v>677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</row>
    <row r="220" spans="1:28" ht="30" customHeight="1" x14ac:dyDescent="0.3">
      <c r="A220" s="10" t="s">
        <v>417</v>
      </c>
      <c r="B220" s="10" t="s">
        <v>391</v>
      </c>
      <c r="C220" s="10" t="s">
        <v>240</v>
      </c>
      <c r="D220" s="22">
        <v>5</v>
      </c>
      <c r="E220" s="27">
        <f>단가대비표!U10</f>
        <v>1772.72</v>
      </c>
      <c r="F220" s="27">
        <f>ROUNDDOWN(D220*E220,2)</f>
        <v>8863.6</v>
      </c>
      <c r="G220" s="27">
        <f>단가대비표!V10</f>
        <v>0</v>
      </c>
      <c r="H220" s="27">
        <f>ROUNDDOWN(D220*G220,2)</f>
        <v>0</v>
      </c>
      <c r="I220" s="27">
        <f>단가대비표!AE10</f>
        <v>0</v>
      </c>
      <c r="J220" s="27">
        <f>ROUNDDOWN(D220*I220,2)</f>
        <v>0</v>
      </c>
      <c r="K220" s="27">
        <f t="shared" si="31"/>
        <v>1772.72</v>
      </c>
      <c r="L220" s="27">
        <f t="shared" si="31"/>
        <v>8863.6</v>
      </c>
      <c r="M220" s="10" t="s">
        <v>164</v>
      </c>
      <c r="N220" s="25" t="s">
        <v>200</v>
      </c>
      <c r="O220" s="7" t="s">
        <v>710</v>
      </c>
      <c r="P220" s="7" t="s">
        <v>677</v>
      </c>
      <c r="Q220" s="7" t="s">
        <v>677</v>
      </c>
      <c r="R220" s="7" t="s">
        <v>184</v>
      </c>
      <c r="S220" s="28">
        <v>30</v>
      </c>
      <c r="T220" s="7" t="s">
        <v>677</v>
      </c>
      <c r="U220" s="28">
        <v>0</v>
      </c>
      <c r="V220" s="28">
        <v>1</v>
      </c>
      <c r="W220" s="28">
        <v>0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</row>
    <row r="221" spans="1:28" ht="30" customHeight="1" x14ac:dyDescent="0.3">
      <c r="A221" s="10" t="s">
        <v>78</v>
      </c>
      <c r="B221" s="10" t="s">
        <v>114</v>
      </c>
      <c r="C221" s="10" t="s">
        <v>104</v>
      </c>
      <c r="D221" s="22">
        <v>1</v>
      </c>
      <c r="E221" s="27">
        <f>ROUNDDOWN(SUMIF(V218:V221, RIGHTB(O221, 1), F218:F221)*U221, 2)</f>
        <v>1861.35</v>
      </c>
      <c r="F221" s="27">
        <f>ROUNDDOWN(D221*E221,2)</f>
        <v>1861.35</v>
      </c>
      <c r="G221" s="27">
        <v>0</v>
      </c>
      <c r="H221" s="27">
        <f>ROUNDDOWN(D221*G221,2)</f>
        <v>0</v>
      </c>
      <c r="I221" s="27">
        <v>0</v>
      </c>
      <c r="J221" s="27">
        <f>ROUNDDOWN(D221*I221,2)</f>
        <v>0</v>
      </c>
      <c r="K221" s="27">
        <f t="shared" si="31"/>
        <v>1861.35</v>
      </c>
      <c r="L221" s="27">
        <f t="shared" si="31"/>
        <v>1861.35</v>
      </c>
      <c r="M221" s="10"/>
      <c r="N221" s="25" t="s">
        <v>200</v>
      </c>
      <c r="O221" s="7" t="s">
        <v>459</v>
      </c>
      <c r="P221" s="7" t="s">
        <v>677</v>
      </c>
      <c r="Q221" s="7" t="s">
        <v>677</v>
      </c>
      <c r="R221" s="7" t="s">
        <v>184</v>
      </c>
      <c r="S221" s="28">
        <v>40</v>
      </c>
      <c r="T221" s="7" t="s">
        <v>317</v>
      </c>
      <c r="U221" s="28">
        <v>0.21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</row>
    <row r="222" spans="1:28" ht="30" customHeight="1" x14ac:dyDescent="0.3">
      <c r="A222" s="10" t="s">
        <v>489</v>
      </c>
      <c r="B222" s="10" t="s">
        <v>677</v>
      </c>
      <c r="C222" s="10" t="s">
        <v>677</v>
      </c>
      <c r="D222" s="10" t="s">
        <v>677</v>
      </c>
      <c r="E222" s="27">
        <v>0</v>
      </c>
      <c r="F222" s="27">
        <f>ROUNDDOWN(SUMIF(R218:R221, " ", F218:F221),0)</f>
        <v>10724</v>
      </c>
      <c r="G222" s="27">
        <v>0</v>
      </c>
      <c r="H222" s="27">
        <f>ROUNDDOWN(SUMIF(R218:R221, " ", H218:H221),0)</f>
        <v>47967</v>
      </c>
      <c r="I222" s="27">
        <v>0</v>
      </c>
      <c r="J222" s="27">
        <f>ROUNDDOWN(SUMIF(R218:R221, " ", J218:J221),0)</f>
        <v>12688</v>
      </c>
      <c r="K222" s="30" t="s">
        <v>677</v>
      </c>
      <c r="L222" s="27">
        <f>F222+H222+J222</f>
        <v>71379</v>
      </c>
      <c r="M222" s="10"/>
      <c r="N222" s="9" t="s">
        <v>606</v>
      </c>
      <c r="O222" s="26" t="s">
        <v>606</v>
      </c>
    </row>
    <row r="223" spans="1:28" ht="30" customHeight="1" x14ac:dyDescent="0.3">
      <c r="A223" s="10" t="s">
        <v>677</v>
      </c>
      <c r="B223" s="10" t="s">
        <v>677</v>
      </c>
      <c r="C223" s="10" t="s">
        <v>677</v>
      </c>
      <c r="D223" s="10" t="s">
        <v>677</v>
      </c>
      <c r="E223" s="10" t="s">
        <v>677</v>
      </c>
      <c r="F223" s="10" t="s">
        <v>677</v>
      </c>
      <c r="G223" s="10" t="s">
        <v>677</v>
      </c>
      <c r="H223" s="10" t="s">
        <v>677</v>
      </c>
      <c r="I223" s="10" t="s">
        <v>677</v>
      </c>
      <c r="J223" s="10" t="s">
        <v>677</v>
      </c>
      <c r="K223" s="10" t="s">
        <v>677</v>
      </c>
      <c r="L223" s="10" t="s">
        <v>677</v>
      </c>
      <c r="M223" s="10" t="s">
        <v>677</v>
      </c>
    </row>
    <row r="224" spans="1:28" ht="30" customHeight="1" x14ac:dyDescent="0.3">
      <c r="A224" s="96" t="s">
        <v>594</v>
      </c>
      <c r="B224" s="97"/>
      <c r="C224" s="97"/>
      <c r="D224" s="97"/>
      <c r="E224" s="97"/>
      <c r="F224" s="97"/>
      <c r="G224" s="97"/>
      <c r="H224" s="97"/>
      <c r="I224" s="97"/>
      <c r="J224" s="97"/>
      <c r="K224" s="97"/>
      <c r="L224" s="97"/>
      <c r="M224" s="98"/>
      <c r="N224" s="25" t="s">
        <v>491</v>
      </c>
    </row>
    <row r="225" spans="1:28" ht="30" customHeight="1" x14ac:dyDescent="0.3">
      <c r="A225" s="10" t="s">
        <v>631</v>
      </c>
      <c r="B225" s="10" t="s">
        <v>48</v>
      </c>
      <c r="C225" s="10" t="s">
        <v>796</v>
      </c>
      <c r="D225" s="22">
        <v>0.20849999999999999</v>
      </c>
      <c r="E225" s="27">
        <f>단가대비표!U57</f>
        <v>0</v>
      </c>
      <c r="F225" s="27">
        <f>ROUNDDOWN(D225*E225,2)</f>
        <v>0</v>
      </c>
      <c r="G225" s="27">
        <f>단가대비표!V57</f>
        <v>0</v>
      </c>
      <c r="H225" s="27">
        <f>ROUNDDOWN(D225*G225,2)</f>
        <v>0</v>
      </c>
      <c r="I225" s="27">
        <f>단가대비표!AE57</f>
        <v>76571</v>
      </c>
      <c r="J225" s="27">
        <f>ROUNDDOWN(D225*I225,2)</f>
        <v>15965.05</v>
      </c>
      <c r="K225" s="27">
        <f t="shared" ref="K225:L228" si="32">ROUNDDOWN(E225+G225+I225,2)</f>
        <v>76571</v>
      </c>
      <c r="L225" s="27">
        <f t="shared" si="32"/>
        <v>15965.05</v>
      </c>
      <c r="M225" s="10" t="s">
        <v>733</v>
      </c>
      <c r="N225" s="25" t="s">
        <v>491</v>
      </c>
      <c r="O225" s="7" t="s">
        <v>767</v>
      </c>
      <c r="P225" s="7" t="s">
        <v>677</v>
      </c>
      <c r="Q225" s="7" t="s">
        <v>677</v>
      </c>
      <c r="R225" s="7" t="s">
        <v>184</v>
      </c>
      <c r="S225" s="28">
        <v>10</v>
      </c>
      <c r="T225" s="7" t="s">
        <v>677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</row>
    <row r="226" spans="1:28" ht="30" customHeight="1" x14ac:dyDescent="0.3">
      <c r="A226" s="10" t="s">
        <v>1003</v>
      </c>
      <c r="B226" s="10" t="s">
        <v>220</v>
      </c>
      <c r="C226" s="10" t="s">
        <v>526</v>
      </c>
      <c r="D226" s="22">
        <v>1</v>
      </c>
      <c r="E226" s="27">
        <f>단가대비표!U52*1/8*16/12*25/20</f>
        <v>0</v>
      </c>
      <c r="F226" s="27">
        <f>ROUNDDOWN(D226*E226,2)</f>
        <v>0</v>
      </c>
      <c r="G226" s="27">
        <f>단가대비표!V52*1/8*16/12*25/20</f>
        <v>47967.708333333328</v>
      </c>
      <c r="H226" s="27">
        <f>ROUNDDOWN(D226*G226,2)</f>
        <v>47967.7</v>
      </c>
      <c r="I226" s="27">
        <f>단가대비표!AE52*1/8*16/12*25/20</f>
        <v>0</v>
      </c>
      <c r="J226" s="27">
        <f>ROUNDDOWN(D226*I226,2)</f>
        <v>0</v>
      </c>
      <c r="K226" s="27">
        <f t="shared" si="32"/>
        <v>47967.7</v>
      </c>
      <c r="L226" s="27">
        <f t="shared" si="32"/>
        <v>47967.7</v>
      </c>
      <c r="M226" s="10" t="s">
        <v>310</v>
      </c>
      <c r="N226" s="25" t="s">
        <v>491</v>
      </c>
      <c r="O226" s="7" t="s">
        <v>258</v>
      </c>
      <c r="P226" s="7" t="s">
        <v>677</v>
      </c>
      <c r="Q226" s="7" t="s">
        <v>677</v>
      </c>
      <c r="R226" s="7" t="s">
        <v>184</v>
      </c>
      <c r="S226" s="28">
        <v>20</v>
      </c>
      <c r="T226" s="7" t="s">
        <v>677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</row>
    <row r="227" spans="1:28" ht="30" customHeight="1" x14ac:dyDescent="0.3">
      <c r="A227" s="10" t="s">
        <v>417</v>
      </c>
      <c r="B227" s="10" t="s">
        <v>391</v>
      </c>
      <c r="C227" s="10" t="s">
        <v>240</v>
      </c>
      <c r="D227" s="22">
        <v>9.9</v>
      </c>
      <c r="E227" s="27">
        <f>단가대비표!U10</f>
        <v>1772.72</v>
      </c>
      <c r="F227" s="27">
        <f>ROUNDDOWN(D227*E227,2)</f>
        <v>17549.919999999998</v>
      </c>
      <c r="G227" s="27">
        <f>단가대비표!V10</f>
        <v>0</v>
      </c>
      <c r="H227" s="27">
        <f>ROUNDDOWN(D227*G227,2)</f>
        <v>0</v>
      </c>
      <c r="I227" s="27">
        <f>단가대비표!AE10</f>
        <v>0</v>
      </c>
      <c r="J227" s="27">
        <f>ROUNDDOWN(D227*I227,2)</f>
        <v>0</v>
      </c>
      <c r="K227" s="27">
        <f t="shared" si="32"/>
        <v>1772.72</v>
      </c>
      <c r="L227" s="27">
        <f t="shared" si="32"/>
        <v>17549.919999999998</v>
      </c>
      <c r="M227" s="10" t="s">
        <v>164</v>
      </c>
      <c r="N227" s="25" t="s">
        <v>491</v>
      </c>
      <c r="O227" s="7" t="s">
        <v>710</v>
      </c>
      <c r="P227" s="7" t="s">
        <v>677</v>
      </c>
      <c r="Q227" s="7" t="s">
        <v>677</v>
      </c>
      <c r="R227" s="7" t="s">
        <v>184</v>
      </c>
      <c r="S227" s="28">
        <v>30</v>
      </c>
      <c r="T227" s="7" t="s">
        <v>677</v>
      </c>
      <c r="U227" s="28">
        <v>0</v>
      </c>
      <c r="V227" s="28">
        <v>1</v>
      </c>
      <c r="W227" s="28">
        <v>0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</row>
    <row r="228" spans="1:28" ht="30" customHeight="1" x14ac:dyDescent="0.3">
      <c r="A228" s="10" t="s">
        <v>78</v>
      </c>
      <c r="B228" s="10" t="s">
        <v>638</v>
      </c>
      <c r="C228" s="10" t="s">
        <v>104</v>
      </c>
      <c r="D228" s="22">
        <v>1</v>
      </c>
      <c r="E228" s="27">
        <f>ROUNDDOWN(SUMIF(V225:V228, RIGHTB(O228, 1), F225:F228)*U228, 2)</f>
        <v>3860.98</v>
      </c>
      <c r="F228" s="27">
        <f>ROUNDDOWN(D228*E228,2)</f>
        <v>3860.98</v>
      </c>
      <c r="G228" s="27">
        <v>0</v>
      </c>
      <c r="H228" s="27">
        <f>ROUNDDOWN(D228*G228,2)</f>
        <v>0</v>
      </c>
      <c r="I228" s="27">
        <v>0</v>
      </c>
      <c r="J228" s="27">
        <f>ROUNDDOWN(D228*I228,2)</f>
        <v>0</v>
      </c>
      <c r="K228" s="27">
        <f t="shared" si="32"/>
        <v>3860.98</v>
      </c>
      <c r="L228" s="27">
        <f t="shared" si="32"/>
        <v>3860.98</v>
      </c>
      <c r="M228" s="10"/>
      <c r="N228" s="25" t="s">
        <v>491</v>
      </c>
      <c r="O228" s="7" t="s">
        <v>459</v>
      </c>
      <c r="P228" s="7" t="s">
        <v>677</v>
      </c>
      <c r="Q228" s="7" t="s">
        <v>677</v>
      </c>
      <c r="R228" s="7" t="s">
        <v>184</v>
      </c>
      <c r="S228" s="28">
        <v>40</v>
      </c>
      <c r="T228" s="7" t="s">
        <v>155</v>
      </c>
      <c r="U228" s="28">
        <v>0.22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</row>
    <row r="229" spans="1:28" ht="30" customHeight="1" x14ac:dyDescent="0.3">
      <c r="A229" s="10" t="s">
        <v>489</v>
      </c>
      <c r="B229" s="10" t="s">
        <v>677</v>
      </c>
      <c r="C229" s="10" t="s">
        <v>677</v>
      </c>
      <c r="D229" s="10" t="s">
        <v>677</v>
      </c>
      <c r="E229" s="27">
        <v>0</v>
      </c>
      <c r="F229" s="27">
        <f>ROUNDDOWN(SUMIF(R225:R228, " ", F225:F228),0)</f>
        <v>21410</v>
      </c>
      <c r="G229" s="27">
        <v>0</v>
      </c>
      <c r="H229" s="27">
        <f>ROUNDDOWN(SUMIF(R225:R228, " ", H225:H228),0)</f>
        <v>47967</v>
      </c>
      <c r="I229" s="27">
        <v>0</v>
      </c>
      <c r="J229" s="27">
        <f>ROUNDDOWN(SUMIF(R225:R228, " ", J225:J228),0)</f>
        <v>15965</v>
      </c>
      <c r="K229" s="30" t="s">
        <v>677</v>
      </c>
      <c r="L229" s="27">
        <f>F229+H229+J229</f>
        <v>85342</v>
      </c>
      <c r="M229" s="10"/>
      <c r="N229" s="9" t="s">
        <v>606</v>
      </c>
      <c r="O229" s="26" t="s">
        <v>606</v>
      </c>
    </row>
    <row r="230" spans="1:28" ht="30" customHeight="1" x14ac:dyDescent="0.3">
      <c r="A230" s="10" t="s">
        <v>677</v>
      </c>
      <c r="B230" s="10" t="s">
        <v>677</v>
      </c>
      <c r="C230" s="10" t="s">
        <v>677</v>
      </c>
      <c r="D230" s="10" t="s">
        <v>677</v>
      </c>
      <c r="E230" s="10" t="s">
        <v>677</v>
      </c>
      <c r="F230" s="10" t="s">
        <v>677</v>
      </c>
      <c r="G230" s="10" t="s">
        <v>677</v>
      </c>
      <c r="H230" s="10" t="s">
        <v>677</v>
      </c>
      <c r="I230" s="10" t="s">
        <v>677</v>
      </c>
      <c r="J230" s="10" t="s">
        <v>677</v>
      </c>
      <c r="K230" s="10" t="s">
        <v>677</v>
      </c>
      <c r="L230" s="10" t="s">
        <v>677</v>
      </c>
      <c r="M230" s="10" t="s">
        <v>677</v>
      </c>
    </row>
    <row r="231" spans="1:28" ht="30" customHeight="1" x14ac:dyDescent="0.3">
      <c r="A231" s="96" t="s">
        <v>537</v>
      </c>
      <c r="B231" s="97"/>
      <c r="C231" s="97"/>
      <c r="D231" s="97"/>
      <c r="E231" s="97"/>
      <c r="F231" s="97"/>
      <c r="G231" s="97"/>
      <c r="H231" s="97"/>
      <c r="I231" s="97"/>
      <c r="J231" s="97"/>
      <c r="K231" s="97"/>
      <c r="L231" s="97"/>
      <c r="M231" s="98"/>
      <c r="N231" s="25" t="s">
        <v>569</v>
      </c>
    </row>
    <row r="232" spans="1:28" ht="30" customHeight="1" x14ac:dyDescent="0.3">
      <c r="A232" s="10" t="s">
        <v>631</v>
      </c>
      <c r="B232" s="10" t="s">
        <v>747</v>
      </c>
      <c r="C232" s="10" t="s">
        <v>796</v>
      </c>
      <c r="D232" s="22">
        <v>0.20849999999999999</v>
      </c>
      <c r="E232" s="27">
        <f>단가대비표!U58</f>
        <v>0</v>
      </c>
      <c r="F232" s="27">
        <f>ROUNDDOWN(D232*E232,2)</f>
        <v>0</v>
      </c>
      <c r="G232" s="27">
        <f>단가대비표!V58</f>
        <v>0</v>
      </c>
      <c r="H232" s="27">
        <f>ROUNDDOWN(D232*G232,2)</f>
        <v>0</v>
      </c>
      <c r="I232" s="27">
        <f>단가대비표!AE58</f>
        <v>107355</v>
      </c>
      <c r="J232" s="27">
        <f>ROUNDDOWN(D232*I232,2)</f>
        <v>22383.51</v>
      </c>
      <c r="K232" s="27">
        <f t="shared" ref="K232:L235" si="33">ROUNDDOWN(E232+G232+I232,2)</f>
        <v>107355</v>
      </c>
      <c r="L232" s="27">
        <f t="shared" si="33"/>
        <v>22383.51</v>
      </c>
      <c r="M232" s="10" t="s">
        <v>867</v>
      </c>
      <c r="N232" s="25" t="s">
        <v>569</v>
      </c>
      <c r="O232" s="7" t="s">
        <v>475</v>
      </c>
      <c r="P232" s="7" t="s">
        <v>677</v>
      </c>
      <c r="Q232" s="7" t="s">
        <v>677</v>
      </c>
      <c r="R232" s="7" t="s">
        <v>184</v>
      </c>
      <c r="S232" s="28">
        <v>10</v>
      </c>
      <c r="T232" s="7" t="s">
        <v>677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</row>
    <row r="233" spans="1:28" ht="30" customHeight="1" x14ac:dyDescent="0.3">
      <c r="A233" s="10" t="s">
        <v>1003</v>
      </c>
      <c r="B233" s="10" t="s">
        <v>220</v>
      </c>
      <c r="C233" s="10" t="s">
        <v>526</v>
      </c>
      <c r="D233" s="22">
        <v>1</v>
      </c>
      <c r="E233" s="27">
        <f>단가대비표!U52*1/8*16/12*25/20</f>
        <v>0</v>
      </c>
      <c r="F233" s="27">
        <f>ROUNDDOWN(D233*E233,2)</f>
        <v>0</v>
      </c>
      <c r="G233" s="27">
        <f>단가대비표!V52*1/8*16/12*25/20</f>
        <v>47967.708333333328</v>
      </c>
      <c r="H233" s="27">
        <f>ROUNDDOWN(D233*G233,2)</f>
        <v>47967.7</v>
      </c>
      <c r="I233" s="27">
        <f>단가대비표!AE52*1/8*16/12*25/20</f>
        <v>0</v>
      </c>
      <c r="J233" s="27">
        <f>ROUNDDOWN(D233*I233,2)</f>
        <v>0</v>
      </c>
      <c r="K233" s="27">
        <f t="shared" si="33"/>
        <v>47967.7</v>
      </c>
      <c r="L233" s="27">
        <f t="shared" si="33"/>
        <v>47967.7</v>
      </c>
      <c r="M233" s="10" t="s">
        <v>310</v>
      </c>
      <c r="N233" s="25" t="s">
        <v>569</v>
      </c>
      <c r="O233" s="7" t="s">
        <v>258</v>
      </c>
      <c r="P233" s="7" t="s">
        <v>677</v>
      </c>
      <c r="Q233" s="7" t="s">
        <v>677</v>
      </c>
      <c r="R233" s="7" t="s">
        <v>184</v>
      </c>
      <c r="S233" s="28">
        <v>20</v>
      </c>
      <c r="T233" s="7" t="s">
        <v>677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</row>
    <row r="234" spans="1:28" ht="30" customHeight="1" x14ac:dyDescent="0.3">
      <c r="A234" s="10" t="s">
        <v>417</v>
      </c>
      <c r="B234" s="10" t="s">
        <v>391</v>
      </c>
      <c r="C234" s="10" t="s">
        <v>240</v>
      </c>
      <c r="D234" s="22">
        <v>11.6</v>
      </c>
      <c r="E234" s="27">
        <f>단가대비표!U10</f>
        <v>1772.72</v>
      </c>
      <c r="F234" s="27">
        <f>ROUNDDOWN(D234*E234,2)</f>
        <v>20563.55</v>
      </c>
      <c r="G234" s="27">
        <f>단가대비표!V10</f>
        <v>0</v>
      </c>
      <c r="H234" s="27">
        <f>ROUNDDOWN(D234*G234,2)</f>
        <v>0</v>
      </c>
      <c r="I234" s="27">
        <f>단가대비표!AE10</f>
        <v>0</v>
      </c>
      <c r="J234" s="27">
        <f>ROUNDDOWN(D234*I234,2)</f>
        <v>0</v>
      </c>
      <c r="K234" s="27">
        <f t="shared" si="33"/>
        <v>1772.72</v>
      </c>
      <c r="L234" s="27">
        <f t="shared" si="33"/>
        <v>20563.55</v>
      </c>
      <c r="M234" s="10" t="s">
        <v>164</v>
      </c>
      <c r="N234" s="25" t="s">
        <v>569</v>
      </c>
      <c r="O234" s="7" t="s">
        <v>710</v>
      </c>
      <c r="P234" s="7" t="s">
        <v>677</v>
      </c>
      <c r="Q234" s="7" t="s">
        <v>677</v>
      </c>
      <c r="R234" s="7" t="s">
        <v>184</v>
      </c>
      <c r="S234" s="28">
        <v>30</v>
      </c>
      <c r="T234" s="7" t="s">
        <v>677</v>
      </c>
      <c r="U234" s="28">
        <v>0</v>
      </c>
      <c r="V234" s="28">
        <v>1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</row>
    <row r="235" spans="1:28" ht="30" customHeight="1" x14ac:dyDescent="0.3">
      <c r="A235" s="10" t="s">
        <v>78</v>
      </c>
      <c r="B235" s="10" t="s">
        <v>638</v>
      </c>
      <c r="C235" s="10" t="s">
        <v>104</v>
      </c>
      <c r="D235" s="22">
        <v>1</v>
      </c>
      <c r="E235" s="27">
        <f>ROUNDDOWN(SUMIF(V232:V235, RIGHTB(O235, 1), F232:F235)*U235, 2)</f>
        <v>4523.9799999999996</v>
      </c>
      <c r="F235" s="27">
        <f>ROUNDDOWN(D235*E235,2)</f>
        <v>4523.9799999999996</v>
      </c>
      <c r="G235" s="27">
        <v>0</v>
      </c>
      <c r="H235" s="27">
        <f>ROUNDDOWN(D235*G235,2)</f>
        <v>0</v>
      </c>
      <c r="I235" s="27">
        <v>0</v>
      </c>
      <c r="J235" s="27">
        <f>ROUNDDOWN(D235*I235,2)</f>
        <v>0</v>
      </c>
      <c r="K235" s="27">
        <f t="shared" si="33"/>
        <v>4523.9799999999996</v>
      </c>
      <c r="L235" s="27">
        <f t="shared" si="33"/>
        <v>4523.9799999999996</v>
      </c>
      <c r="M235" s="10"/>
      <c r="N235" s="25" t="s">
        <v>569</v>
      </c>
      <c r="O235" s="7" t="s">
        <v>459</v>
      </c>
      <c r="P235" s="7" t="s">
        <v>677</v>
      </c>
      <c r="Q235" s="7" t="s">
        <v>677</v>
      </c>
      <c r="R235" s="7" t="s">
        <v>184</v>
      </c>
      <c r="S235" s="28">
        <v>40</v>
      </c>
      <c r="T235" s="7" t="s">
        <v>155</v>
      </c>
      <c r="U235" s="28">
        <v>0.22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</row>
    <row r="236" spans="1:28" ht="30" customHeight="1" x14ac:dyDescent="0.3">
      <c r="A236" s="10" t="s">
        <v>489</v>
      </c>
      <c r="B236" s="10" t="s">
        <v>677</v>
      </c>
      <c r="C236" s="10" t="s">
        <v>677</v>
      </c>
      <c r="D236" s="10" t="s">
        <v>677</v>
      </c>
      <c r="E236" s="27">
        <v>0</v>
      </c>
      <c r="F236" s="27">
        <f>ROUNDDOWN(SUMIF(R232:R235, " ", F232:F235),0)</f>
        <v>25087</v>
      </c>
      <c r="G236" s="27">
        <v>0</v>
      </c>
      <c r="H236" s="27">
        <f>ROUNDDOWN(SUMIF(R232:R235, " ", H232:H235),0)</f>
        <v>47967</v>
      </c>
      <c r="I236" s="27">
        <v>0</v>
      </c>
      <c r="J236" s="27">
        <f>ROUNDDOWN(SUMIF(R232:R235, " ", J232:J235),0)</f>
        <v>22383</v>
      </c>
      <c r="K236" s="30" t="s">
        <v>677</v>
      </c>
      <c r="L236" s="27">
        <f>F236+H236+J236</f>
        <v>95437</v>
      </c>
      <c r="M236" s="10"/>
      <c r="N236" s="9" t="s">
        <v>606</v>
      </c>
      <c r="O236" s="26" t="s">
        <v>606</v>
      </c>
    </row>
    <row r="237" spans="1:28" ht="30" customHeight="1" x14ac:dyDescent="0.3">
      <c r="A237" s="10" t="s">
        <v>677</v>
      </c>
      <c r="B237" s="10" t="s">
        <v>677</v>
      </c>
      <c r="C237" s="10" t="s">
        <v>677</v>
      </c>
      <c r="D237" s="10" t="s">
        <v>677</v>
      </c>
      <c r="E237" s="10" t="s">
        <v>677</v>
      </c>
      <c r="F237" s="10" t="s">
        <v>677</v>
      </c>
      <c r="G237" s="10" t="s">
        <v>677</v>
      </c>
      <c r="H237" s="10" t="s">
        <v>677</v>
      </c>
      <c r="I237" s="10" t="s">
        <v>677</v>
      </c>
      <c r="J237" s="10" t="s">
        <v>677</v>
      </c>
      <c r="K237" s="10" t="s">
        <v>677</v>
      </c>
      <c r="L237" s="10" t="s">
        <v>677</v>
      </c>
      <c r="M237" s="10" t="s">
        <v>677</v>
      </c>
    </row>
    <row r="238" spans="1:28" ht="30" customHeight="1" x14ac:dyDescent="0.3">
      <c r="A238" s="96" t="s">
        <v>665</v>
      </c>
      <c r="B238" s="97"/>
      <c r="C238" s="97"/>
      <c r="D238" s="97"/>
      <c r="E238" s="97"/>
      <c r="F238" s="97"/>
      <c r="G238" s="97"/>
      <c r="H238" s="97"/>
      <c r="I238" s="97"/>
      <c r="J238" s="97"/>
      <c r="K238" s="97"/>
      <c r="L238" s="97"/>
      <c r="M238" s="98"/>
      <c r="N238" s="25" t="s">
        <v>234</v>
      </c>
    </row>
    <row r="239" spans="1:28" ht="30" customHeight="1" x14ac:dyDescent="0.3">
      <c r="A239" s="10" t="s">
        <v>474</v>
      </c>
      <c r="B239" s="10" t="s">
        <v>268</v>
      </c>
      <c r="C239" s="10" t="s">
        <v>796</v>
      </c>
      <c r="D239" s="22">
        <v>0.22789999999999999</v>
      </c>
      <c r="E239" s="27">
        <f>단가대비표!U59</f>
        <v>0</v>
      </c>
      <c r="F239" s="27">
        <f>ROUNDDOWN(D239*E239,2)</f>
        <v>0</v>
      </c>
      <c r="G239" s="27">
        <f>단가대비표!V59</f>
        <v>0</v>
      </c>
      <c r="H239" s="27">
        <f>ROUNDDOWN(D239*G239,2)</f>
        <v>0</v>
      </c>
      <c r="I239" s="27">
        <f>단가대비표!AE59</f>
        <v>83251</v>
      </c>
      <c r="J239" s="27">
        <f>ROUNDDOWN(D239*I239,2)</f>
        <v>18972.900000000001</v>
      </c>
      <c r="K239" s="27">
        <f t="shared" ref="K239:L242" si="34">ROUNDDOWN(E239+G239+I239,2)</f>
        <v>83251</v>
      </c>
      <c r="L239" s="27">
        <f t="shared" si="34"/>
        <v>18972.900000000001</v>
      </c>
      <c r="M239" s="10" t="s">
        <v>390</v>
      </c>
      <c r="N239" s="25" t="s">
        <v>234</v>
      </c>
      <c r="O239" s="7" t="s">
        <v>936</v>
      </c>
      <c r="P239" s="7" t="s">
        <v>677</v>
      </c>
      <c r="Q239" s="7" t="s">
        <v>677</v>
      </c>
      <c r="R239" s="7" t="s">
        <v>184</v>
      </c>
      <c r="S239" s="28">
        <v>10</v>
      </c>
      <c r="T239" s="7" t="s">
        <v>677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</row>
    <row r="240" spans="1:28" ht="30" customHeight="1" x14ac:dyDescent="0.3">
      <c r="A240" s="10" t="s">
        <v>417</v>
      </c>
      <c r="B240" s="10" t="s">
        <v>391</v>
      </c>
      <c r="C240" s="10" t="s">
        <v>240</v>
      </c>
      <c r="D240" s="22">
        <v>15.9</v>
      </c>
      <c r="E240" s="27">
        <f>단가대비표!U10</f>
        <v>1772.72</v>
      </c>
      <c r="F240" s="27">
        <f>ROUNDDOWN(D240*E240,2)</f>
        <v>28186.240000000002</v>
      </c>
      <c r="G240" s="27">
        <f>단가대비표!V10</f>
        <v>0</v>
      </c>
      <c r="H240" s="27">
        <f>ROUNDDOWN(D240*G240,2)</f>
        <v>0</v>
      </c>
      <c r="I240" s="27">
        <f>단가대비표!AE10</f>
        <v>0</v>
      </c>
      <c r="J240" s="27">
        <f>ROUNDDOWN(D240*I240,2)</f>
        <v>0</v>
      </c>
      <c r="K240" s="27">
        <f t="shared" si="34"/>
        <v>1772.72</v>
      </c>
      <c r="L240" s="27">
        <f t="shared" si="34"/>
        <v>28186.240000000002</v>
      </c>
      <c r="M240" s="10" t="s">
        <v>164</v>
      </c>
      <c r="N240" s="25" t="s">
        <v>234</v>
      </c>
      <c r="O240" s="7" t="s">
        <v>710</v>
      </c>
      <c r="P240" s="7" t="s">
        <v>677</v>
      </c>
      <c r="Q240" s="7" t="s">
        <v>677</v>
      </c>
      <c r="R240" s="7" t="s">
        <v>184</v>
      </c>
      <c r="S240" s="28">
        <v>20</v>
      </c>
      <c r="T240" s="7" t="s">
        <v>677</v>
      </c>
      <c r="U240" s="28">
        <v>0</v>
      </c>
      <c r="V240" s="28">
        <v>1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</row>
    <row r="241" spans="1:28" ht="30" customHeight="1" x14ac:dyDescent="0.3">
      <c r="A241" s="10" t="s">
        <v>370</v>
      </c>
      <c r="B241" s="10" t="s">
        <v>111</v>
      </c>
      <c r="C241" s="10" t="s">
        <v>104</v>
      </c>
      <c r="D241" s="22">
        <v>1</v>
      </c>
      <c r="E241" s="27">
        <f>ROUNDDOWN(SUMIF(V239:V242, RIGHTB(O241, 1), F239:F242)*U241, 2)</f>
        <v>10710.77</v>
      </c>
      <c r="F241" s="27">
        <f>ROUNDDOWN(D241*E241,2)</f>
        <v>10710.77</v>
      </c>
      <c r="G241" s="27">
        <v>0</v>
      </c>
      <c r="H241" s="27">
        <f>ROUNDDOWN(D241*G241,2)</f>
        <v>0</v>
      </c>
      <c r="I241" s="27">
        <v>0</v>
      </c>
      <c r="J241" s="27">
        <f>ROUNDDOWN(D241*I241,2)</f>
        <v>0</v>
      </c>
      <c r="K241" s="27">
        <f t="shared" si="34"/>
        <v>10710.77</v>
      </c>
      <c r="L241" s="27">
        <f t="shared" si="34"/>
        <v>10710.77</v>
      </c>
      <c r="M241" s="10" t="s">
        <v>677</v>
      </c>
      <c r="N241" s="25" t="s">
        <v>234</v>
      </c>
      <c r="O241" s="7" t="s">
        <v>459</v>
      </c>
      <c r="P241" s="7" t="s">
        <v>677</v>
      </c>
      <c r="Q241" s="7" t="s">
        <v>677</v>
      </c>
      <c r="R241" s="7" t="s">
        <v>184</v>
      </c>
      <c r="S241" s="28">
        <v>30</v>
      </c>
      <c r="T241" s="7" t="s">
        <v>363</v>
      </c>
      <c r="U241" s="28">
        <v>0.38</v>
      </c>
      <c r="V241" s="28">
        <v>0</v>
      </c>
      <c r="W241" s="28">
        <v>0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</row>
    <row r="242" spans="1:28" ht="30" customHeight="1" x14ac:dyDescent="0.3">
      <c r="A242" s="10" t="s">
        <v>1003</v>
      </c>
      <c r="B242" s="10" t="s">
        <v>220</v>
      </c>
      <c r="C242" s="10" t="s">
        <v>526</v>
      </c>
      <c r="D242" s="22">
        <v>1</v>
      </c>
      <c r="E242" s="27">
        <f>단가대비표!U52*1/8*16/12*25/20</f>
        <v>0</v>
      </c>
      <c r="F242" s="27">
        <f>ROUNDDOWN(D242*E242,2)</f>
        <v>0</v>
      </c>
      <c r="G242" s="27">
        <f>단가대비표!V52*1/8*16/12*25/20</f>
        <v>47967.708333333328</v>
      </c>
      <c r="H242" s="27">
        <f>ROUNDDOWN(D242*G242,2)</f>
        <v>47967.7</v>
      </c>
      <c r="I242" s="27">
        <f>단가대비표!AE52*1/8*16/12*25/20</f>
        <v>0</v>
      </c>
      <c r="J242" s="27">
        <f>ROUNDDOWN(D242*I242,2)</f>
        <v>0</v>
      </c>
      <c r="K242" s="27">
        <f t="shared" si="34"/>
        <v>47967.7</v>
      </c>
      <c r="L242" s="27">
        <f t="shared" si="34"/>
        <v>47967.7</v>
      </c>
      <c r="M242" s="10" t="s">
        <v>310</v>
      </c>
      <c r="N242" s="25" t="s">
        <v>234</v>
      </c>
      <c r="O242" s="7" t="s">
        <v>258</v>
      </c>
      <c r="P242" s="7" t="s">
        <v>677</v>
      </c>
      <c r="Q242" s="7" t="s">
        <v>677</v>
      </c>
      <c r="R242" s="7" t="s">
        <v>184</v>
      </c>
      <c r="S242" s="28">
        <v>40</v>
      </c>
      <c r="T242" s="7" t="s">
        <v>677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8">
        <v>0</v>
      </c>
      <c r="AB242" s="28">
        <v>0</v>
      </c>
    </row>
    <row r="243" spans="1:28" ht="30" customHeight="1" x14ac:dyDescent="0.3">
      <c r="A243" s="10" t="s">
        <v>489</v>
      </c>
      <c r="B243" s="10" t="s">
        <v>677</v>
      </c>
      <c r="C243" s="10" t="s">
        <v>677</v>
      </c>
      <c r="D243" s="10" t="s">
        <v>677</v>
      </c>
      <c r="E243" s="27">
        <v>0</v>
      </c>
      <c r="F243" s="27">
        <f>ROUNDDOWN(SUMIF(R239:R242, " ", F239:F242),0)</f>
        <v>38897</v>
      </c>
      <c r="G243" s="27">
        <v>0</v>
      </c>
      <c r="H243" s="27">
        <f>ROUNDDOWN(SUMIF(R239:R242, " ", H239:H242),0)</f>
        <v>47967</v>
      </c>
      <c r="I243" s="27">
        <v>0</v>
      </c>
      <c r="J243" s="27">
        <f>ROUNDDOWN(SUMIF(R239:R242, " ", J239:J242),0)</f>
        <v>18972</v>
      </c>
      <c r="K243" s="30" t="s">
        <v>677</v>
      </c>
      <c r="L243" s="27">
        <f>F243+H243+J243</f>
        <v>105836</v>
      </c>
      <c r="M243" s="10"/>
      <c r="N243" s="9" t="s">
        <v>606</v>
      </c>
      <c r="O243" s="26" t="s">
        <v>606</v>
      </c>
    </row>
    <row r="244" spans="1:28" ht="30" customHeight="1" x14ac:dyDescent="0.3">
      <c r="A244" s="10" t="s">
        <v>677</v>
      </c>
      <c r="B244" s="10" t="s">
        <v>677</v>
      </c>
      <c r="C244" s="10" t="s">
        <v>677</v>
      </c>
      <c r="D244" s="10" t="s">
        <v>677</v>
      </c>
      <c r="E244" s="10" t="s">
        <v>677</v>
      </c>
      <c r="F244" s="10" t="s">
        <v>677</v>
      </c>
      <c r="G244" s="10" t="s">
        <v>677</v>
      </c>
      <c r="H244" s="10" t="s">
        <v>677</v>
      </c>
      <c r="I244" s="10" t="s">
        <v>677</v>
      </c>
      <c r="J244" s="10" t="s">
        <v>677</v>
      </c>
      <c r="K244" s="10" t="s">
        <v>677</v>
      </c>
      <c r="L244" s="10" t="s">
        <v>677</v>
      </c>
      <c r="M244" s="10" t="s">
        <v>677</v>
      </c>
    </row>
    <row r="245" spans="1:28" ht="30" customHeight="1" x14ac:dyDescent="0.3">
      <c r="A245" s="96" t="s">
        <v>77</v>
      </c>
      <c r="B245" s="97"/>
      <c r="C245" s="97"/>
      <c r="D245" s="97"/>
      <c r="E245" s="97"/>
      <c r="F245" s="97"/>
      <c r="G245" s="97"/>
      <c r="H245" s="97"/>
      <c r="I245" s="97"/>
      <c r="J245" s="97"/>
      <c r="K245" s="97"/>
      <c r="L245" s="97"/>
      <c r="M245" s="98"/>
      <c r="N245" s="25" t="s">
        <v>794</v>
      </c>
    </row>
    <row r="246" spans="1:28" ht="30" customHeight="1" x14ac:dyDescent="0.3">
      <c r="A246" s="10" t="s">
        <v>245</v>
      </c>
      <c r="B246" s="10" t="s">
        <v>268</v>
      </c>
      <c r="C246" s="10" t="s">
        <v>796</v>
      </c>
      <c r="D246" s="22">
        <v>0.26840000000000003</v>
      </c>
      <c r="E246" s="27">
        <f>단가대비표!U60</f>
        <v>0</v>
      </c>
      <c r="F246" s="27">
        <f>ROUNDDOWN(D246*E246,2)</f>
        <v>0</v>
      </c>
      <c r="G246" s="27">
        <f>단가대비표!V60</f>
        <v>0</v>
      </c>
      <c r="H246" s="27">
        <f>ROUNDDOWN(D246*G246,2)</f>
        <v>0</v>
      </c>
      <c r="I246" s="27">
        <f>단가대비표!AE60</f>
        <v>1495</v>
      </c>
      <c r="J246" s="27">
        <f>ROUNDDOWN(D246*I246,2)</f>
        <v>401.25</v>
      </c>
      <c r="K246" s="27">
        <f>ROUNDDOWN(E246+G246+I246,2)</f>
        <v>1495</v>
      </c>
      <c r="L246" s="27">
        <f>ROUNDDOWN(F246+H246+J246,2)</f>
        <v>401.25</v>
      </c>
      <c r="M246" s="10" t="s">
        <v>751</v>
      </c>
      <c r="N246" s="25" t="s">
        <v>794</v>
      </c>
      <c r="O246" s="7" t="s">
        <v>522</v>
      </c>
      <c r="P246" s="7" t="s">
        <v>677</v>
      </c>
      <c r="Q246" s="7" t="s">
        <v>677</v>
      </c>
      <c r="R246" s="7" t="s">
        <v>184</v>
      </c>
      <c r="S246" s="28">
        <v>10</v>
      </c>
      <c r="T246" s="7" t="s">
        <v>677</v>
      </c>
      <c r="U246" s="28"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8">
        <v>0</v>
      </c>
      <c r="AB246" s="28">
        <v>0</v>
      </c>
    </row>
    <row r="247" spans="1:28" ht="30" customHeight="1" x14ac:dyDescent="0.3">
      <c r="A247" s="10" t="s">
        <v>489</v>
      </c>
      <c r="B247" s="10" t="s">
        <v>677</v>
      </c>
      <c r="C247" s="10" t="s">
        <v>677</v>
      </c>
      <c r="D247" s="10" t="s">
        <v>677</v>
      </c>
      <c r="E247" s="27">
        <v>0</v>
      </c>
      <c r="F247" s="27">
        <f>ROUNDDOWN(SUMIF(R246:R246, " ", F246:F246),0)</f>
        <v>0</v>
      </c>
      <c r="G247" s="27">
        <v>0</v>
      </c>
      <c r="H247" s="27">
        <f>ROUNDDOWN(SUMIF(R246:R246, " ", H246:H246),0)</f>
        <v>0</v>
      </c>
      <c r="I247" s="27">
        <v>0</v>
      </c>
      <c r="J247" s="27">
        <f>ROUNDDOWN(SUMIF(R246:R246, " ", J246:J246),0)</f>
        <v>401</v>
      </c>
      <c r="K247" s="30" t="s">
        <v>677</v>
      </c>
      <c r="L247" s="27">
        <f>F247+H247+J247</f>
        <v>401</v>
      </c>
      <c r="M247" s="10"/>
      <c r="N247" s="9" t="s">
        <v>606</v>
      </c>
      <c r="O247" s="26" t="s">
        <v>606</v>
      </c>
    </row>
    <row r="248" spans="1:28" ht="30" customHeight="1" x14ac:dyDescent="0.3">
      <c r="A248" s="10" t="s">
        <v>677</v>
      </c>
      <c r="B248" s="10" t="s">
        <v>677</v>
      </c>
      <c r="C248" s="10" t="s">
        <v>677</v>
      </c>
      <c r="D248" s="10" t="s">
        <v>677</v>
      </c>
      <c r="E248" s="10" t="s">
        <v>677</v>
      </c>
      <c r="F248" s="10" t="s">
        <v>677</v>
      </c>
      <c r="G248" s="10" t="s">
        <v>677</v>
      </c>
      <c r="H248" s="10" t="s">
        <v>677</v>
      </c>
      <c r="I248" s="10" t="s">
        <v>677</v>
      </c>
      <c r="J248" s="10" t="s">
        <v>677</v>
      </c>
      <c r="K248" s="10" t="s">
        <v>677</v>
      </c>
      <c r="L248" s="10" t="s">
        <v>677</v>
      </c>
      <c r="M248" s="10" t="s">
        <v>677</v>
      </c>
    </row>
    <row r="249" spans="1:28" ht="30" customHeight="1" x14ac:dyDescent="0.3">
      <c r="A249" s="96" t="s">
        <v>658</v>
      </c>
      <c r="B249" s="97"/>
      <c r="C249" s="97"/>
      <c r="D249" s="97"/>
      <c r="E249" s="97"/>
      <c r="F249" s="97"/>
      <c r="G249" s="97"/>
      <c r="H249" s="97"/>
      <c r="I249" s="97"/>
      <c r="J249" s="97"/>
      <c r="K249" s="97"/>
      <c r="L249" s="97"/>
      <c r="M249" s="98"/>
      <c r="N249" s="25" t="s">
        <v>136</v>
      </c>
    </row>
    <row r="250" spans="1:28" ht="30" customHeight="1" x14ac:dyDescent="0.3">
      <c r="A250" s="10" t="s">
        <v>770</v>
      </c>
      <c r="B250" s="10" t="s">
        <v>468</v>
      </c>
      <c r="C250" s="10" t="s">
        <v>796</v>
      </c>
      <c r="D250" s="22">
        <v>0.28249999999999997</v>
      </c>
      <c r="E250" s="27">
        <f>단가대비표!U61</f>
        <v>0</v>
      </c>
      <c r="F250" s="27">
        <f>ROUNDDOWN(D250*E250,2)</f>
        <v>0</v>
      </c>
      <c r="G250" s="27">
        <f>단가대비표!V61</f>
        <v>0</v>
      </c>
      <c r="H250" s="27">
        <f>ROUNDDOWN(D250*G250,2)</f>
        <v>0</v>
      </c>
      <c r="I250" s="27">
        <f>단가대비표!AE61</f>
        <v>6258</v>
      </c>
      <c r="J250" s="27">
        <f>ROUNDDOWN(D250*I250,2)</f>
        <v>1767.88</v>
      </c>
      <c r="K250" s="27">
        <f t="shared" ref="K250:L253" si="35">ROUNDDOWN(E250+G250+I250,2)</f>
        <v>6258</v>
      </c>
      <c r="L250" s="27">
        <f t="shared" si="35"/>
        <v>1767.88</v>
      </c>
      <c r="M250" s="10" t="s">
        <v>705</v>
      </c>
      <c r="N250" s="25" t="s">
        <v>136</v>
      </c>
      <c r="O250" s="7" t="s">
        <v>566</v>
      </c>
      <c r="P250" s="7" t="s">
        <v>677</v>
      </c>
      <c r="Q250" s="7" t="s">
        <v>677</v>
      </c>
      <c r="R250" s="7" t="s">
        <v>184</v>
      </c>
      <c r="S250" s="28">
        <v>10</v>
      </c>
      <c r="T250" s="7" t="s">
        <v>677</v>
      </c>
      <c r="U250" s="28"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0</v>
      </c>
      <c r="AA250" s="28">
        <v>0</v>
      </c>
      <c r="AB250" s="28">
        <v>0</v>
      </c>
    </row>
    <row r="251" spans="1:28" ht="30" customHeight="1" x14ac:dyDescent="0.3">
      <c r="A251" s="10" t="s">
        <v>695</v>
      </c>
      <c r="B251" s="10" t="s">
        <v>220</v>
      </c>
      <c r="C251" s="10" t="s">
        <v>526</v>
      </c>
      <c r="D251" s="22">
        <v>1</v>
      </c>
      <c r="E251" s="27">
        <f>단가대비표!U53*1/8*16/12*25/20</f>
        <v>0</v>
      </c>
      <c r="F251" s="27">
        <f>ROUNDDOWN(D251*E251,2)</f>
        <v>0</v>
      </c>
      <c r="G251" s="27">
        <f>단가대비표!V53*1/8*16/12*25/20</f>
        <v>31597.708333333336</v>
      </c>
      <c r="H251" s="27">
        <f>ROUNDDOWN(D251*G251,2)</f>
        <v>31597.7</v>
      </c>
      <c r="I251" s="27">
        <f>단가대비표!AE53*1/8*16/12*25/20</f>
        <v>0</v>
      </c>
      <c r="J251" s="27">
        <f>ROUNDDOWN(D251*I251,2)</f>
        <v>0</v>
      </c>
      <c r="K251" s="27">
        <f t="shared" si="35"/>
        <v>31597.7</v>
      </c>
      <c r="L251" s="27">
        <f t="shared" si="35"/>
        <v>31597.7</v>
      </c>
      <c r="M251" s="10" t="s">
        <v>130</v>
      </c>
      <c r="N251" s="25" t="s">
        <v>136</v>
      </c>
      <c r="O251" s="7" t="s">
        <v>560</v>
      </c>
      <c r="P251" s="7" t="s">
        <v>677</v>
      </c>
      <c r="Q251" s="7" t="s">
        <v>677</v>
      </c>
      <c r="R251" s="7" t="s">
        <v>184</v>
      </c>
      <c r="S251" s="28">
        <v>20</v>
      </c>
      <c r="T251" s="7" t="s">
        <v>677</v>
      </c>
      <c r="U251" s="28">
        <v>0</v>
      </c>
      <c r="V251" s="28">
        <v>0</v>
      </c>
      <c r="W251" s="28">
        <v>0</v>
      </c>
      <c r="X251" s="28">
        <v>0</v>
      </c>
      <c r="Y251" s="28">
        <v>0</v>
      </c>
      <c r="Z251" s="28">
        <v>0</v>
      </c>
      <c r="AA251" s="28">
        <v>0</v>
      </c>
      <c r="AB251" s="28">
        <v>0</v>
      </c>
    </row>
    <row r="252" spans="1:28" ht="30" customHeight="1" x14ac:dyDescent="0.3">
      <c r="A252" s="10" t="s">
        <v>417</v>
      </c>
      <c r="B252" s="10" t="s">
        <v>391</v>
      </c>
      <c r="C252" s="10" t="s">
        <v>240</v>
      </c>
      <c r="D252" s="22">
        <v>2.2000000000000002</v>
      </c>
      <c r="E252" s="27">
        <f>단가대비표!U10</f>
        <v>1772.72</v>
      </c>
      <c r="F252" s="27">
        <f>ROUNDDOWN(D252*E252,2)</f>
        <v>3899.98</v>
      </c>
      <c r="G252" s="27">
        <f>단가대비표!V10</f>
        <v>0</v>
      </c>
      <c r="H252" s="27">
        <f>ROUNDDOWN(D252*G252,2)</f>
        <v>0</v>
      </c>
      <c r="I252" s="27">
        <f>단가대비표!AE10</f>
        <v>0</v>
      </c>
      <c r="J252" s="27">
        <f>ROUNDDOWN(D252*I252,2)</f>
        <v>0</v>
      </c>
      <c r="K252" s="27">
        <f t="shared" si="35"/>
        <v>1772.72</v>
      </c>
      <c r="L252" s="27">
        <f t="shared" si="35"/>
        <v>3899.98</v>
      </c>
      <c r="M252" s="10" t="s">
        <v>164</v>
      </c>
      <c r="N252" s="25" t="s">
        <v>136</v>
      </c>
      <c r="O252" s="7" t="s">
        <v>710</v>
      </c>
      <c r="P252" s="7" t="s">
        <v>677</v>
      </c>
      <c r="Q252" s="7" t="s">
        <v>677</v>
      </c>
      <c r="R252" s="7" t="s">
        <v>184</v>
      </c>
      <c r="S252" s="28">
        <v>30</v>
      </c>
      <c r="T252" s="7" t="s">
        <v>677</v>
      </c>
      <c r="U252" s="28">
        <v>0</v>
      </c>
      <c r="V252" s="28">
        <v>1</v>
      </c>
      <c r="W252" s="28">
        <v>0</v>
      </c>
      <c r="X252" s="28">
        <v>0</v>
      </c>
      <c r="Y252" s="28">
        <v>0</v>
      </c>
      <c r="Z252" s="28">
        <v>0</v>
      </c>
      <c r="AA252" s="28">
        <v>0</v>
      </c>
      <c r="AB252" s="28">
        <v>0</v>
      </c>
    </row>
    <row r="253" spans="1:28" ht="30" customHeight="1" x14ac:dyDescent="0.3">
      <c r="A253" s="10" t="s">
        <v>78</v>
      </c>
      <c r="B253" s="10" t="s">
        <v>568</v>
      </c>
      <c r="C253" s="10" t="s">
        <v>104</v>
      </c>
      <c r="D253" s="22">
        <v>1</v>
      </c>
      <c r="E253" s="27">
        <f>ROUNDDOWN(SUMIF(V250:V253, RIGHTB(O253, 1), F250:F253)*U253, 2)</f>
        <v>506.99</v>
      </c>
      <c r="F253" s="27">
        <f>ROUNDDOWN(D253*E253,2)</f>
        <v>506.99</v>
      </c>
      <c r="G253" s="27">
        <v>0</v>
      </c>
      <c r="H253" s="27">
        <f>ROUNDDOWN(D253*G253,2)</f>
        <v>0</v>
      </c>
      <c r="I253" s="27">
        <v>0</v>
      </c>
      <c r="J253" s="27">
        <f>ROUNDDOWN(D253*I253,2)</f>
        <v>0</v>
      </c>
      <c r="K253" s="27">
        <f t="shared" si="35"/>
        <v>506.99</v>
      </c>
      <c r="L253" s="27">
        <f t="shared" si="35"/>
        <v>506.99</v>
      </c>
      <c r="M253" s="10"/>
      <c r="N253" s="25" t="s">
        <v>136</v>
      </c>
      <c r="O253" s="7" t="s">
        <v>459</v>
      </c>
      <c r="P253" s="7" t="s">
        <v>677</v>
      </c>
      <c r="Q253" s="7" t="s">
        <v>677</v>
      </c>
      <c r="R253" s="7" t="s">
        <v>184</v>
      </c>
      <c r="S253" s="28">
        <v>40</v>
      </c>
      <c r="T253" s="7" t="s">
        <v>297</v>
      </c>
      <c r="U253" s="28">
        <v>0.13</v>
      </c>
      <c r="V253" s="28">
        <v>0</v>
      </c>
      <c r="W253" s="28">
        <v>0</v>
      </c>
      <c r="X253" s="28">
        <v>0</v>
      </c>
      <c r="Y253" s="28">
        <v>0</v>
      </c>
      <c r="Z253" s="28">
        <v>0</v>
      </c>
      <c r="AA253" s="28">
        <v>0</v>
      </c>
      <c r="AB253" s="28">
        <v>0</v>
      </c>
    </row>
    <row r="254" spans="1:28" ht="30" customHeight="1" x14ac:dyDescent="0.3">
      <c r="A254" s="10" t="s">
        <v>489</v>
      </c>
      <c r="B254" s="10" t="s">
        <v>677</v>
      </c>
      <c r="C254" s="10" t="s">
        <v>677</v>
      </c>
      <c r="D254" s="10" t="s">
        <v>677</v>
      </c>
      <c r="E254" s="27">
        <v>0</v>
      </c>
      <c r="F254" s="27">
        <f>ROUNDDOWN(SUMIF(R250:R253, " ", F250:F253),0)</f>
        <v>4406</v>
      </c>
      <c r="G254" s="27">
        <v>0</v>
      </c>
      <c r="H254" s="27">
        <f>ROUNDDOWN(SUMIF(R250:R253, " ", H250:H253),0)</f>
        <v>31597</v>
      </c>
      <c r="I254" s="27">
        <v>0</v>
      </c>
      <c r="J254" s="27">
        <f>ROUNDDOWN(SUMIF(R250:R253, " ", J250:J253),0)</f>
        <v>1767</v>
      </c>
      <c r="K254" s="30" t="s">
        <v>677</v>
      </c>
      <c r="L254" s="27">
        <f>F254+H254+J254</f>
        <v>37770</v>
      </c>
      <c r="M254" s="10"/>
      <c r="N254" s="9" t="s">
        <v>606</v>
      </c>
      <c r="O254" s="26" t="s">
        <v>606</v>
      </c>
    </row>
    <row r="255" spans="1:28" ht="30" customHeight="1" x14ac:dyDescent="0.3">
      <c r="A255" s="10" t="s">
        <v>677</v>
      </c>
      <c r="B255" s="10" t="s">
        <v>677</v>
      </c>
      <c r="C255" s="10" t="s">
        <v>677</v>
      </c>
      <c r="D255" s="10" t="s">
        <v>677</v>
      </c>
      <c r="E255" s="10" t="s">
        <v>677</v>
      </c>
      <c r="F255" s="10" t="s">
        <v>677</v>
      </c>
      <c r="G255" s="10" t="s">
        <v>677</v>
      </c>
      <c r="H255" s="10" t="s">
        <v>677</v>
      </c>
      <c r="I255" s="10" t="s">
        <v>677</v>
      </c>
      <c r="J255" s="10" t="s">
        <v>677</v>
      </c>
      <c r="K255" s="10" t="s">
        <v>677</v>
      </c>
      <c r="L255" s="10" t="s">
        <v>677</v>
      </c>
      <c r="M255" s="10" t="s">
        <v>677</v>
      </c>
    </row>
    <row r="256" spans="1:28" ht="30" customHeight="1" x14ac:dyDescent="0.3">
      <c r="A256" s="96" t="s">
        <v>670</v>
      </c>
      <c r="B256" s="97"/>
      <c r="C256" s="97"/>
      <c r="D256" s="97"/>
      <c r="E256" s="97"/>
      <c r="F256" s="97"/>
      <c r="G256" s="97"/>
      <c r="H256" s="97"/>
      <c r="I256" s="97"/>
      <c r="J256" s="97"/>
      <c r="K256" s="97"/>
      <c r="L256" s="97"/>
      <c r="M256" s="98"/>
      <c r="N256" s="25" t="s">
        <v>204</v>
      </c>
    </row>
    <row r="257" spans="1:28" ht="30" customHeight="1" x14ac:dyDescent="0.3">
      <c r="A257" s="10" t="s">
        <v>264</v>
      </c>
      <c r="B257" s="10" t="s">
        <v>559</v>
      </c>
      <c r="C257" s="10" t="s">
        <v>796</v>
      </c>
      <c r="D257" s="22">
        <v>0.37080000000000002</v>
      </c>
      <c r="E257" s="27">
        <f>단가대비표!U62</f>
        <v>0</v>
      </c>
      <c r="F257" s="27">
        <f>ROUNDDOWN(D257*E257,2)</f>
        <v>0</v>
      </c>
      <c r="G257" s="27">
        <f>단가대비표!V62</f>
        <v>0</v>
      </c>
      <c r="H257" s="27">
        <f>ROUNDDOWN(D257*G257,2)</f>
        <v>0</v>
      </c>
      <c r="I257" s="27">
        <f>단가대비표!AE62</f>
        <v>1273</v>
      </c>
      <c r="J257" s="27">
        <f>ROUNDDOWN(D257*I257,2)</f>
        <v>472.02</v>
      </c>
      <c r="K257" s="27">
        <f t="shared" ref="K257:L260" si="36">ROUNDDOWN(E257+G257+I257,2)</f>
        <v>1273</v>
      </c>
      <c r="L257" s="27">
        <f t="shared" si="36"/>
        <v>472.02</v>
      </c>
      <c r="M257" s="10" t="s">
        <v>254</v>
      </c>
      <c r="N257" s="25" t="s">
        <v>204</v>
      </c>
      <c r="O257" s="7" t="s">
        <v>910</v>
      </c>
      <c r="P257" s="7" t="s">
        <v>677</v>
      </c>
      <c r="Q257" s="7" t="s">
        <v>677</v>
      </c>
      <c r="R257" s="7" t="s">
        <v>184</v>
      </c>
      <c r="S257" s="28">
        <v>10</v>
      </c>
      <c r="T257" s="7" t="s">
        <v>677</v>
      </c>
      <c r="U257" s="28">
        <v>0</v>
      </c>
      <c r="V257" s="28">
        <v>0</v>
      </c>
      <c r="W257" s="28">
        <v>0</v>
      </c>
      <c r="X257" s="28">
        <v>0</v>
      </c>
      <c r="Y257" s="28">
        <v>0</v>
      </c>
      <c r="Z257" s="28">
        <v>0</v>
      </c>
      <c r="AA257" s="28">
        <v>0</v>
      </c>
      <c r="AB257" s="28">
        <v>0</v>
      </c>
    </row>
    <row r="258" spans="1:28" ht="30" customHeight="1" x14ac:dyDescent="0.3">
      <c r="A258" s="10" t="s">
        <v>695</v>
      </c>
      <c r="B258" s="10" t="s">
        <v>220</v>
      </c>
      <c r="C258" s="10" t="s">
        <v>526</v>
      </c>
      <c r="D258" s="22">
        <v>1</v>
      </c>
      <c r="E258" s="27">
        <f>단가대비표!U53*1/8*16/12*25/20</f>
        <v>0</v>
      </c>
      <c r="F258" s="27">
        <f>ROUNDDOWN(D258*E258,2)</f>
        <v>0</v>
      </c>
      <c r="G258" s="27">
        <f>단가대비표!V53*1/8*16/12*25/20</f>
        <v>31597.708333333336</v>
      </c>
      <c r="H258" s="27">
        <f>ROUNDDOWN(D258*G258,2)</f>
        <v>31597.7</v>
      </c>
      <c r="I258" s="27">
        <f>단가대비표!AE53*1/8*16/12*25/20</f>
        <v>0</v>
      </c>
      <c r="J258" s="27">
        <f>ROUNDDOWN(D258*I258,2)</f>
        <v>0</v>
      </c>
      <c r="K258" s="27">
        <f t="shared" si="36"/>
        <v>31597.7</v>
      </c>
      <c r="L258" s="27">
        <f t="shared" si="36"/>
        <v>31597.7</v>
      </c>
      <c r="M258" s="10" t="s">
        <v>130</v>
      </c>
      <c r="N258" s="25" t="s">
        <v>204</v>
      </c>
      <c r="O258" s="7" t="s">
        <v>560</v>
      </c>
      <c r="P258" s="7" t="s">
        <v>677</v>
      </c>
      <c r="Q258" s="7" t="s">
        <v>677</v>
      </c>
      <c r="R258" s="7" t="s">
        <v>184</v>
      </c>
      <c r="S258" s="28">
        <v>20</v>
      </c>
      <c r="T258" s="7" t="s">
        <v>677</v>
      </c>
      <c r="U258" s="28">
        <v>0</v>
      </c>
      <c r="V258" s="28">
        <v>0</v>
      </c>
      <c r="W258" s="28">
        <v>0</v>
      </c>
      <c r="X258" s="28">
        <v>0</v>
      </c>
      <c r="Y258" s="28">
        <v>0</v>
      </c>
      <c r="Z258" s="28">
        <v>0</v>
      </c>
      <c r="AA258" s="28">
        <v>0</v>
      </c>
      <c r="AB258" s="28">
        <v>0</v>
      </c>
    </row>
    <row r="259" spans="1:28" ht="30" customHeight="1" x14ac:dyDescent="0.3">
      <c r="A259" s="10" t="s">
        <v>878</v>
      </c>
      <c r="B259" s="10" t="s">
        <v>1002</v>
      </c>
      <c r="C259" s="10" t="s">
        <v>240</v>
      </c>
      <c r="D259" s="22">
        <v>0.7</v>
      </c>
      <c r="E259" s="27">
        <f>단가대비표!U11</f>
        <v>1690</v>
      </c>
      <c r="F259" s="27">
        <f>ROUNDDOWN(D259*E259,2)</f>
        <v>1183</v>
      </c>
      <c r="G259" s="27">
        <f>단가대비표!V11</f>
        <v>0</v>
      </c>
      <c r="H259" s="27">
        <f>ROUNDDOWN(D259*G259,2)</f>
        <v>0</v>
      </c>
      <c r="I259" s="27">
        <f>단가대비표!AE11</f>
        <v>0</v>
      </c>
      <c r="J259" s="27">
        <f>ROUNDDOWN(D259*I259,2)</f>
        <v>0</v>
      </c>
      <c r="K259" s="27">
        <f t="shared" si="36"/>
        <v>1690</v>
      </c>
      <c r="L259" s="27">
        <f t="shared" si="36"/>
        <v>1183</v>
      </c>
      <c r="M259" s="10" t="s">
        <v>882</v>
      </c>
      <c r="N259" s="25" t="s">
        <v>204</v>
      </c>
      <c r="O259" s="7" t="s">
        <v>408</v>
      </c>
      <c r="P259" s="7" t="s">
        <v>677</v>
      </c>
      <c r="Q259" s="7" t="s">
        <v>677</v>
      </c>
      <c r="R259" s="7" t="s">
        <v>184</v>
      </c>
      <c r="S259" s="28">
        <v>30</v>
      </c>
      <c r="T259" s="7" t="s">
        <v>677</v>
      </c>
      <c r="U259" s="28">
        <v>0</v>
      </c>
      <c r="V259" s="28">
        <v>1</v>
      </c>
      <c r="W259" s="28">
        <v>0</v>
      </c>
      <c r="X259" s="28">
        <v>0</v>
      </c>
      <c r="Y259" s="28">
        <v>0</v>
      </c>
      <c r="Z259" s="28">
        <v>0</v>
      </c>
      <c r="AA259" s="28">
        <v>0</v>
      </c>
      <c r="AB259" s="28">
        <v>0</v>
      </c>
    </row>
    <row r="260" spans="1:28" ht="30" customHeight="1" x14ac:dyDescent="0.3">
      <c r="A260" s="10" t="s">
        <v>78</v>
      </c>
      <c r="B260" s="10" t="s">
        <v>809</v>
      </c>
      <c r="C260" s="10" t="s">
        <v>104</v>
      </c>
      <c r="D260" s="22">
        <v>1</v>
      </c>
      <c r="E260" s="27">
        <f>ROUNDDOWN(SUMIF(V257:V260, RIGHTB(O260, 1), F257:F260)*U260, 2)</f>
        <v>118.3</v>
      </c>
      <c r="F260" s="27">
        <f>ROUNDDOWN(D260*E260,2)</f>
        <v>118.3</v>
      </c>
      <c r="G260" s="27">
        <v>0</v>
      </c>
      <c r="H260" s="27">
        <f>ROUNDDOWN(D260*G260,2)</f>
        <v>0</v>
      </c>
      <c r="I260" s="27">
        <v>0</v>
      </c>
      <c r="J260" s="27">
        <f>ROUNDDOWN(D260*I260,2)</f>
        <v>0</v>
      </c>
      <c r="K260" s="27">
        <f t="shared" si="36"/>
        <v>118.3</v>
      </c>
      <c r="L260" s="27">
        <f t="shared" si="36"/>
        <v>118.3</v>
      </c>
      <c r="M260" s="10"/>
      <c r="N260" s="25" t="s">
        <v>204</v>
      </c>
      <c r="O260" s="7" t="s">
        <v>459</v>
      </c>
      <c r="P260" s="7" t="s">
        <v>677</v>
      </c>
      <c r="Q260" s="7" t="s">
        <v>677</v>
      </c>
      <c r="R260" s="7" t="s">
        <v>184</v>
      </c>
      <c r="S260" s="28">
        <v>40</v>
      </c>
      <c r="T260" s="7" t="s">
        <v>325</v>
      </c>
      <c r="U260" s="28">
        <v>0.1</v>
      </c>
      <c r="V260" s="28">
        <v>0</v>
      </c>
      <c r="W260" s="28">
        <v>0</v>
      </c>
      <c r="X260" s="28">
        <v>0</v>
      </c>
      <c r="Y260" s="28">
        <v>0</v>
      </c>
      <c r="Z260" s="28">
        <v>0</v>
      </c>
      <c r="AA260" s="28">
        <v>0</v>
      </c>
      <c r="AB260" s="28">
        <v>0</v>
      </c>
    </row>
    <row r="261" spans="1:28" ht="30" customHeight="1" x14ac:dyDescent="0.3">
      <c r="A261" s="10" t="s">
        <v>489</v>
      </c>
      <c r="B261" s="10" t="s">
        <v>677</v>
      </c>
      <c r="C261" s="10" t="s">
        <v>677</v>
      </c>
      <c r="D261" s="10" t="s">
        <v>677</v>
      </c>
      <c r="E261" s="27">
        <v>0</v>
      </c>
      <c r="F261" s="27">
        <f>ROUNDDOWN(SUMIF(R257:R260, " ", F257:F260),0)</f>
        <v>1301</v>
      </c>
      <c r="G261" s="27">
        <v>0</v>
      </c>
      <c r="H261" s="27">
        <f>ROUNDDOWN(SUMIF(R257:R260, " ", H257:H260),0)</f>
        <v>31597</v>
      </c>
      <c r="I261" s="27">
        <v>0</v>
      </c>
      <c r="J261" s="27">
        <f>ROUNDDOWN(SUMIF(R257:R260, " ", J257:J260),0)</f>
        <v>472</v>
      </c>
      <c r="K261" s="30" t="s">
        <v>677</v>
      </c>
      <c r="L261" s="27">
        <f>F261+H261+J261</f>
        <v>33370</v>
      </c>
      <c r="M261" s="10"/>
      <c r="N261" s="9" t="s">
        <v>606</v>
      </c>
      <c r="O261" s="26" t="s">
        <v>606</v>
      </c>
    </row>
    <row r="262" spans="1:28" ht="30" customHeight="1" x14ac:dyDescent="0.3">
      <c r="A262" s="10" t="s">
        <v>677</v>
      </c>
      <c r="B262" s="10" t="s">
        <v>677</v>
      </c>
      <c r="C262" s="10" t="s">
        <v>677</v>
      </c>
      <c r="D262" s="10" t="s">
        <v>677</v>
      </c>
      <c r="E262" s="10" t="s">
        <v>677</v>
      </c>
      <c r="F262" s="10" t="s">
        <v>677</v>
      </c>
      <c r="G262" s="10" t="s">
        <v>677</v>
      </c>
      <c r="H262" s="10" t="s">
        <v>677</v>
      </c>
      <c r="I262" s="10" t="s">
        <v>677</v>
      </c>
      <c r="J262" s="10" t="s">
        <v>677</v>
      </c>
      <c r="K262" s="10" t="s">
        <v>677</v>
      </c>
      <c r="L262" s="10" t="s">
        <v>677</v>
      </c>
      <c r="M262" s="10" t="s">
        <v>677</v>
      </c>
    </row>
    <row r="263" spans="1:28" ht="30" customHeight="1" x14ac:dyDescent="0.3">
      <c r="A263" s="96" t="s">
        <v>1181</v>
      </c>
      <c r="B263" s="97"/>
      <c r="C263" s="97"/>
      <c r="D263" s="97"/>
      <c r="E263" s="97"/>
      <c r="F263" s="97"/>
      <c r="G263" s="97"/>
      <c r="H263" s="97"/>
      <c r="I263" s="97"/>
      <c r="J263" s="97"/>
      <c r="K263" s="97"/>
      <c r="L263" s="97"/>
      <c r="M263" s="98"/>
      <c r="N263" s="25" t="s">
        <v>1182</v>
      </c>
    </row>
    <row r="264" spans="1:28" ht="30" customHeight="1" x14ac:dyDescent="0.3">
      <c r="A264" s="10" t="s">
        <v>1179</v>
      </c>
      <c r="B264" s="10" t="s">
        <v>1180</v>
      </c>
      <c r="C264" s="10" t="s">
        <v>796</v>
      </c>
      <c r="D264" s="22">
        <v>0.25979999999999998</v>
      </c>
      <c r="E264" s="27">
        <f>단가대비표!U63</f>
        <v>0</v>
      </c>
      <c r="F264" s="27">
        <f>ROUNDDOWN(D264*E264,2)</f>
        <v>0</v>
      </c>
      <c r="G264" s="27">
        <f>단가대비표!V63</f>
        <v>0</v>
      </c>
      <c r="H264" s="27">
        <f>ROUNDDOWN(D264*G264,2)</f>
        <v>0</v>
      </c>
      <c r="I264" s="27">
        <f>단가대비표!AE63</f>
        <v>36938</v>
      </c>
      <c r="J264" s="27">
        <f>ROUNDDOWN(D264*I264,2)</f>
        <v>9596.49</v>
      </c>
      <c r="K264" s="27">
        <f t="shared" ref="K264:L267" si="37">ROUNDDOWN(E264+G264+I264,2)</f>
        <v>36938</v>
      </c>
      <c r="L264" s="27">
        <f t="shared" si="37"/>
        <v>9596.49</v>
      </c>
      <c r="M264" s="10" t="s">
        <v>159</v>
      </c>
      <c r="N264" s="25" t="s">
        <v>1182</v>
      </c>
      <c r="O264" s="7" t="s">
        <v>1178</v>
      </c>
      <c r="P264" s="7" t="s">
        <v>677</v>
      </c>
      <c r="Q264" s="7" t="s">
        <v>677</v>
      </c>
      <c r="R264" s="7" t="s">
        <v>184</v>
      </c>
      <c r="S264" s="28">
        <v>10</v>
      </c>
      <c r="T264" s="7" t="s">
        <v>677</v>
      </c>
      <c r="U264" s="28">
        <v>0</v>
      </c>
      <c r="V264" s="28">
        <v>0</v>
      </c>
      <c r="W264" s="28">
        <v>0</v>
      </c>
      <c r="X264" s="28">
        <v>0</v>
      </c>
      <c r="Y264" s="28">
        <v>0</v>
      </c>
      <c r="Z264" s="28">
        <v>0</v>
      </c>
      <c r="AA264" s="28">
        <v>0</v>
      </c>
      <c r="AB264" s="28">
        <v>0</v>
      </c>
    </row>
    <row r="265" spans="1:28" ht="30" customHeight="1" x14ac:dyDescent="0.3">
      <c r="A265" s="10" t="s">
        <v>1183</v>
      </c>
      <c r="B265" s="10" t="s">
        <v>220</v>
      </c>
      <c r="C265" s="10" t="s">
        <v>526</v>
      </c>
      <c r="D265" s="22">
        <v>1</v>
      </c>
      <c r="E265" s="27">
        <f>단가대비표!U54*1/8*16/12*25/20</f>
        <v>0</v>
      </c>
      <c r="F265" s="27">
        <f>ROUNDDOWN(D265*E265,2)</f>
        <v>0</v>
      </c>
      <c r="G265" s="27">
        <f>단가대비표!V54*1/8*16/12*25/20</f>
        <v>40000</v>
      </c>
      <c r="H265" s="27">
        <f>ROUNDDOWN(D265*G265,2)</f>
        <v>40000</v>
      </c>
      <c r="I265" s="27">
        <f>[1]단가대비표!AE54*1/8*16/12*25/20</f>
        <v>0</v>
      </c>
      <c r="J265" s="27">
        <f>ROUNDDOWN(D265*I265,2)</f>
        <v>0</v>
      </c>
      <c r="K265" s="27">
        <f t="shared" si="37"/>
        <v>40000</v>
      </c>
      <c r="L265" s="27">
        <f t="shared" si="37"/>
        <v>40000</v>
      </c>
      <c r="M265" s="10" t="s">
        <v>1188</v>
      </c>
      <c r="N265" s="25" t="s">
        <v>1182</v>
      </c>
      <c r="O265" s="7" t="s">
        <v>1184</v>
      </c>
      <c r="P265" s="7" t="s">
        <v>677</v>
      </c>
      <c r="Q265" s="7" t="s">
        <v>677</v>
      </c>
      <c r="R265" s="7" t="s">
        <v>184</v>
      </c>
      <c r="S265" s="28">
        <v>20</v>
      </c>
      <c r="T265" s="7" t="s">
        <v>677</v>
      </c>
      <c r="U265" s="28">
        <v>0</v>
      </c>
      <c r="V265" s="28">
        <v>0</v>
      </c>
      <c r="W265" s="28">
        <v>0</v>
      </c>
      <c r="X265" s="28">
        <v>0</v>
      </c>
      <c r="Y265" s="28">
        <v>0</v>
      </c>
      <c r="Z265" s="28">
        <v>0</v>
      </c>
      <c r="AA265" s="28">
        <v>0</v>
      </c>
      <c r="AB265" s="28">
        <v>0</v>
      </c>
    </row>
    <row r="266" spans="1:28" ht="30" customHeight="1" x14ac:dyDescent="0.3">
      <c r="A266" s="10" t="s">
        <v>417</v>
      </c>
      <c r="B266" s="10" t="s">
        <v>391</v>
      </c>
      <c r="C266" s="10" t="s">
        <v>240</v>
      </c>
      <c r="D266" s="22">
        <v>5.0999999999999996</v>
      </c>
      <c r="E266" s="27">
        <f>단가대비표!U10</f>
        <v>1772.72</v>
      </c>
      <c r="F266" s="27">
        <f>ROUNDDOWN(D266*E266,2)</f>
        <v>9040.8700000000008</v>
      </c>
      <c r="G266" s="27">
        <f>단가대비표!V10</f>
        <v>0</v>
      </c>
      <c r="H266" s="27">
        <f>ROUNDDOWN(D266*G266,2)</f>
        <v>0</v>
      </c>
      <c r="I266" s="27">
        <f>단가대비표!AE10</f>
        <v>0</v>
      </c>
      <c r="J266" s="27">
        <f>ROUNDDOWN(D266*I266,2)</f>
        <v>0</v>
      </c>
      <c r="K266" s="27">
        <f t="shared" si="37"/>
        <v>1772.72</v>
      </c>
      <c r="L266" s="27">
        <f t="shared" si="37"/>
        <v>9040.8700000000008</v>
      </c>
      <c r="M266" s="10" t="s">
        <v>164</v>
      </c>
      <c r="N266" s="25" t="s">
        <v>1182</v>
      </c>
      <c r="O266" s="7" t="s">
        <v>710</v>
      </c>
      <c r="P266" s="7" t="s">
        <v>677</v>
      </c>
      <c r="Q266" s="7" t="s">
        <v>677</v>
      </c>
      <c r="R266" s="7" t="s">
        <v>184</v>
      </c>
      <c r="S266" s="28">
        <v>30</v>
      </c>
      <c r="T266" s="7" t="s">
        <v>677</v>
      </c>
      <c r="U266" s="28">
        <v>0</v>
      </c>
      <c r="V266" s="28">
        <v>1</v>
      </c>
      <c r="W266" s="28">
        <v>0</v>
      </c>
      <c r="X266" s="28">
        <v>0</v>
      </c>
      <c r="Y266" s="28">
        <v>0</v>
      </c>
      <c r="Z266" s="28">
        <v>0</v>
      </c>
      <c r="AA266" s="28">
        <v>0</v>
      </c>
      <c r="AB266" s="28">
        <v>0</v>
      </c>
    </row>
    <row r="267" spans="1:28" ht="30" customHeight="1" x14ac:dyDescent="0.3">
      <c r="A267" s="10" t="s">
        <v>78</v>
      </c>
      <c r="B267" s="10" t="s">
        <v>1185</v>
      </c>
      <c r="C267" s="10" t="s">
        <v>104</v>
      </c>
      <c r="D267" s="22">
        <v>1</v>
      </c>
      <c r="E267" s="27">
        <f>ROUNDDOWN(SUMIF(V264:V267, RIGHTB(O267, 1), F264:F267)*U267, 2)</f>
        <v>1808.17</v>
      </c>
      <c r="F267" s="27">
        <f>ROUNDDOWN(D267*E267,2)</f>
        <v>1808.17</v>
      </c>
      <c r="G267" s="27">
        <v>0</v>
      </c>
      <c r="H267" s="27">
        <f>ROUNDDOWN(D267*G267,2)</f>
        <v>0</v>
      </c>
      <c r="I267" s="27">
        <v>0</v>
      </c>
      <c r="J267" s="27">
        <f>ROUNDDOWN(D267*I267,2)</f>
        <v>0</v>
      </c>
      <c r="K267" s="27">
        <f t="shared" si="37"/>
        <v>1808.17</v>
      </c>
      <c r="L267" s="27">
        <f t="shared" si="37"/>
        <v>1808.17</v>
      </c>
      <c r="M267" s="10"/>
      <c r="N267" s="25" t="s">
        <v>1182</v>
      </c>
      <c r="O267" s="7" t="s">
        <v>459</v>
      </c>
      <c r="P267" s="7" t="s">
        <v>677</v>
      </c>
      <c r="Q267" s="7" t="s">
        <v>677</v>
      </c>
      <c r="R267" s="7" t="s">
        <v>184</v>
      </c>
      <c r="S267" s="28">
        <v>40</v>
      </c>
      <c r="T267" s="7" t="s">
        <v>1186</v>
      </c>
      <c r="U267" s="28">
        <v>0.2</v>
      </c>
      <c r="V267" s="28">
        <v>0</v>
      </c>
      <c r="W267" s="28">
        <v>0</v>
      </c>
      <c r="X267" s="28">
        <v>0</v>
      </c>
      <c r="Y267" s="28">
        <v>0</v>
      </c>
      <c r="Z267" s="28">
        <v>0</v>
      </c>
      <c r="AA267" s="28">
        <v>0</v>
      </c>
      <c r="AB267" s="28">
        <v>0</v>
      </c>
    </row>
    <row r="268" spans="1:28" ht="30" customHeight="1" x14ac:dyDescent="0.3">
      <c r="A268" s="10" t="s">
        <v>489</v>
      </c>
      <c r="B268" s="10" t="s">
        <v>677</v>
      </c>
      <c r="C268" s="10" t="s">
        <v>677</v>
      </c>
      <c r="D268" s="10" t="s">
        <v>677</v>
      </c>
      <c r="E268" s="27">
        <v>0</v>
      </c>
      <c r="F268" s="27">
        <f>ROUNDDOWN(SUMIF(R264:R267, " ", F264:F267),0)</f>
        <v>10849</v>
      </c>
      <c r="G268" s="27">
        <v>0</v>
      </c>
      <c r="H268" s="27">
        <f>ROUNDDOWN(SUMIF(R264:R267, " ", H264:H267),0)</f>
        <v>40000</v>
      </c>
      <c r="I268" s="27">
        <v>0</v>
      </c>
      <c r="J268" s="27">
        <f>ROUNDDOWN(SUMIF(R264:R267, " ", J264:J267),0)</f>
        <v>9596</v>
      </c>
      <c r="K268" s="30" t="s">
        <v>677</v>
      </c>
      <c r="L268" s="27">
        <f>F268+H268+J268</f>
        <v>60445</v>
      </c>
      <c r="M268" s="10"/>
      <c r="N268" s="9" t="s">
        <v>606</v>
      </c>
      <c r="O268" s="26" t="s">
        <v>606</v>
      </c>
    </row>
    <row r="269" spans="1:28" ht="30" customHeight="1" x14ac:dyDescent="0.3">
      <c r="A269" s="10" t="s">
        <v>677</v>
      </c>
      <c r="B269" s="10" t="s">
        <v>677</v>
      </c>
      <c r="C269" s="10" t="s">
        <v>677</v>
      </c>
      <c r="D269" s="10" t="s">
        <v>677</v>
      </c>
      <c r="E269" s="10" t="s">
        <v>677</v>
      </c>
      <c r="F269" s="10" t="s">
        <v>677</v>
      </c>
      <c r="G269" s="10" t="s">
        <v>677</v>
      </c>
      <c r="H269" s="10" t="s">
        <v>677</v>
      </c>
      <c r="I269" s="10" t="s">
        <v>677</v>
      </c>
      <c r="J269" s="10" t="s">
        <v>677</v>
      </c>
      <c r="K269" s="10" t="s">
        <v>677</v>
      </c>
      <c r="L269" s="10" t="s">
        <v>677</v>
      </c>
      <c r="M269" s="10" t="s">
        <v>677</v>
      </c>
    </row>
    <row r="270" spans="1:28" ht="30" customHeight="1" x14ac:dyDescent="0.3">
      <c r="A270" s="96" t="s">
        <v>57</v>
      </c>
      <c r="B270" s="97"/>
      <c r="C270" s="97"/>
      <c r="D270" s="97"/>
      <c r="E270" s="97"/>
      <c r="F270" s="97"/>
      <c r="G270" s="97"/>
      <c r="H270" s="97"/>
      <c r="I270" s="97"/>
      <c r="J270" s="97"/>
      <c r="K270" s="97"/>
      <c r="L270" s="97"/>
      <c r="M270" s="98"/>
      <c r="N270" s="25" t="s">
        <v>981</v>
      </c>
    </row>
    <row r="271" spans="1:28" ht="30" customHeight="1" x14ac:dyDescent="0.3">
      <c r="A271" s="10" t="s">
        <v>799</v>
      </c>
      <c r="B271" s="10" t="s">
        <v>244</v>
      </c>
      <c r="C271" s="10" t="s">
        <v>796</v>
      </c>
      <c r="D271" s="22">
        <v>0.1719</v>
      </c>
      <c r="E271" s="27">
        <f>단가대비표!U64</f>
        <v>0</v>
      </c>
      <c r="F271" s="27">
        <f>ROUNDDOWN(D271*E271,2)</f>
        <v>0</v>
      </c>
      <c r="G271" s="27">
        <f>단가대비표!V64</f>
        <v>0</v>
      </c>
      <c r="H271" s="27">
        <f>ROUNDDOWN(D271*G271,2)</f>
        <v>0</v>
      </c>
      <c r="I271" s="27">
        <f>단가대비표!AE64</f>
        <v>12768</v>
      </c>
      <c r="J271" s="27">
        <f>ROUNDDOWN(D271*I271,2)</f>
        <v>2194.81</v>
      </c>
      <c r="K271" s="27">
        <f t="shared" ref="K271:L274" si="38">ROUNDDOWN(E271+G271+I271,2)</f>
        <v>12768</v>
      </c>
      <c r="L271" s="27">
        <f t="shared" si="38"/>
        <v>2194.81</v>
      </c>
      <c r="M271" s="10" t="s">
        <v>159</v>
      </c>
      <c r="N271" s="25" t="s">
        <v>981</v>
      </c>
      <c r="O271" s="7" t="s">
        <v>123</v>
      </c>
      <c r="P271" s="7" t="s">
        <v>677</v>
      </c>
      <c r="Q271" s="7" t="s">
        <v>677</v>
      </c>
      <c r="R271" s="7" t="s">
        <v>184</v>
      </c>
      <c r="S271" s="28">
        <v>10</v>
      </c>
      <c r="T271" s="7" t="s">
        <v>677</v>
      </c>
      <c r="U271" s="28">
        <v>0</v>
      </c>
      <c r="V271" s="28">
        <v>0</v>
      </c>
      <c r="W271" s="28">
        <v>0</v>
      </c>
      <c r="X271" s="28">
        <v>0</v>
      </c>
      <c r="Y271" s="28">
        <v>0</v>
      </c>
      <c r="Z271" s="28">
        <v>0</v>
      </c>
      <c r="AA271" s="28">
        <v>0</v>
      </c>
      <c r="AB271" s="28">
        <v>0</v>
      </c>
    </row>
    <row r="272" spans="1:28" ht="30" customHeight="1" x14ac:dyDescent="0.3">
      <c r="A272" s="10" t="s">
        <v>417</v>
      </c>
      <c r="B272" s="10" t="s">
        <v>391</v>
      </c>
      <c r="C272" s="10" t="s">
        <v>240</v>
      </c>
      <c r="D272" s="22">
        <v>6.2</v>
      </c>
      <c r="E272" s="27">
        <f>단가대비표!U10</f>
        <v>1772.72</v>
      </c>
      <c r="F272" s="27">
        <f>ROUNDDOWN(D272*E272,2)</f>
        <v>10990.86</v>
      </c>
      <c r="G272" s="27">
        <f>단가대비표!V10</f>
        <v>0</v>
      </c>
      <c r="H272" s="27">
        <f>ROUNDDOWN(D272*G272,2)</f>
        <v>0</v>
      </c>
      <c r="I272" s="27">
        <f>단가대비표!AE10</f>
        <v>0</v>
      </c>
      <c r="J272" s="27">
        <f>ROUNDDOWN(D272*I272,2)</f>
        <v>0</v>
      </c>
      <c r="K272" s="27">
        <f t="shared" si="38"/>
        <v>1772.72</v>
      </c>
      <c r="L272" s="27">
        <f t="shared" si="38"/>
        <v>10990.86</v>
      </c>
      <c r="M272" s="10" t="s">
        <v>164</v>
      </c>
      <c r="N272" s="25" t="s">
        <v>981</v>
      </c>
      <c r="O272" s="7" t="s">
        <v>710</v>
      </c>
      <c r="P272" s="7" t="s">
        <v>677</v>
      </c>
      <c r="Q272" s="7" t="s">
        <v>677</v>
      </c>
      <c r="R272" s="7" t="s">
        <v>184</v>
      </c>
      <c r="S272" s="28">
        <v>20</v>
      </c>
      <c r="T272" s="7" t="s">
        <v>677</v>
      </c>
      <c r="U272" s="28">
        <v>0</v>
      </c>
      <c r="V272" s="28">
        <v>1</v>
      </c>
      <c r="W272" s="28">
        <v>0</v>
      </c>
      <c r="X272" s="28">
        <v>0</v>
      </c>
      <c r="Y272" s="28">
        <v>0</v>
      </c>
      <c r="Z272" s="28">
        <v>0</v>
      </c>
      <c r="AA272" s="28">
        <v>0</v>
      </c>
      <c r="AB272" s="28">
        <v>0</v>
      </c>
    </row>
    <row r="273" spans="1:28" ht="30" customHeight="1" x14ac:dyDescent="0.3">
      <c r="A273" s="10" t="s">
        <v>78</v>
      </c>
      <c r="B273" s="10" t="s">
        <v>641</v>
      </c>
      <c r="C273" s="10" t="s">
        <v>104</v>
      </c>
      <c r="D273" s="22">
        <v>1</v>
      </c>
      <c r="E273" s="27">
        <f>ROUNDDOWN(SUMIF(V271:V274, RIGHTB(O273, 1), F271:F274)*U273, 2)</f>
        <v>1758.53</v>
      </c>
      <c r="F273" s="27">
        <f>ROUNDDOWN(D273*E273,2)</f>
        <v>1758.53</v>
      </c>
      <c r="G273" s="27">
        <v>0</v>
      </c>
      <c r="H273" s="27">
        <f>ROUNDDOWN(D273*G273,2)</f>
        <v>0</v>
      </c>
      <c r="I273" s="27">
        <v>0</v>
      </c>
      <c r="J273" s="27">
        <f>ROUNDDOWN(D273*I273,2)</f>
        <v>0</v>
      </c>
      <c r="K273" s="27">
        <f t="shared" si="38"/>
        <v>1758.53</v>
      </c>
      <c r="L273" s="27">
        <f t="shared" si="38"/>
        <v>1758.53</v>
      </c>
      <c r="M273" s="10"/>
      <c r="N273" s="25" t="s">
        <v>981</v>
      </c>
      <c r="O273" s="7" t="s">
        <v>459</v>
      </c>
      <c r="P273" s="7" t="s">
        <v>677</v>
      </c>
      <c r="Q273" s="7" t="s">
        <v>677</v>
      </c>
      <c r="R273" s="7" t="s">
        <v>184</v>
      </c>
      <c r="S273" s="28">
        <v>30</v>
      </c>
      <c r="T273" s="7" t="s">
        <v>523</v>
      </c>
      <c r="U273" s="28">
        <v>0.16</v>
      </c>
      <c r="V273" s="28">
        <v>0</v>
      </c>
      <c r="W273" s="28">
        <v>0</v>
      </c>
      <c r="X273" s="28">
        <v>0</v>
      </c>
      <c r="Y273" s="28">
        <v>0</v>
      </c>
      <c r="Z273" s="28">
        <v>0</v>
      </c>
      <c r="AA273" s="28">
        <v>0</v>
      </c>
      <c r="AB273" s="28">
        <v>0</v>
      </c>
    </row>
    <row r="274" spans="1:28" ht="30" customHeight="1" x14ac:dyDescent="0.3">
      <c r="A274" s="10" t="s">
        <v>1003</v>
      </c>
      <c r="B274" s="10" t="s">
        <v>220</v>
      </c>
      <c r="C274" s="10" t="s">
        <v>526</v>
      </c>
      <c r="D274" s="22">
        <v>1</v>
      </c>
      <c r="E274" s="27">
        <f>단가대비표!U52*1/8*16/12*25/20</f>
        <v>0</v>
      </c>
      <c r="F274" s="27">
        <f>ROUNDDOWN(D274*E274,2)</f>
        <v>0</v>
      </c>
      <c r="G274" s="27">
        <f>단가대비표!V52*1/8*16/12*25/20</f>
        <v>47967.708333333328</v>
      </c>
      <c r="H274" s="27">
        <f>ROUNDDOWN(D274*G274,2)</f>
        <v>47967.7</v>
      </c>
      <c r="I274" s="27">
        <f>단가대비표!AE52*1/8*16/12*25/20</f>
        <v>0</v>
      </c>
      <c r="J274" s="27">
        <f>ROUNDDOWN(D274*I274,2)</f>
        <v>0</v>
      </c>
      <c r="K274" s="27">
        <f t="shared" si="38"/>
        <v>47967.7</v>
      </c>
      <c r="L274" s="27">
        <f t="shared" si="38"/>
        <v>47967.7</v>
      </c>
      <c r="M274" s="10" t="s">
        <v>310</v>
      </c>
      <c r="N274" s="25" t="s">
        <v>981</v>
      </c>
      <c r="O274" s="7" t="s">
        <v>258</v>
      </c>
      <c r="P274" s="7" t="s">
        <v>677</v>
      </c>
      <c r="Q274" s="7" t="s">
        <v>677</v>
      </c>
      <c r="R274" s="7" t="s">
        <v>184</v>
      </c>
      <c r="S274" s="28">
        <v>40</v>
      </c>
      <c r="T274" s="7" t="s">
        <v>677</v>
      </c>
      <c r="U274" s="28">
        <v>0</v>
      </c>
      <c r="V274" s="28">
        <v>0</v>
      </c>
      <c r="W274" s="28">
        <v>0</v>
      </c>
      <c r="X274" s="28">
        <v>0</v>
      </c>
      <c r="Y274" s="28">
        <v>0</v>
      </c>
      <c r="Z274" s="28">
        <v>0</v>
      </c>
      <c r="AA274" s="28">
        <v>0</v>
      </c>
      <c r="AB274" s="28">
        <v>0</v>
      </c>
    </row>
    <row r="275" spans="1:28" ht="30" customHeight="1" x14ac:dyDescent="0.3">
      <c r="A275" s="10" t="s">
        <v>489</v>
      </c>
      <c r="B275" s="10" t="s">
        <v>677</v>
      </c>
      <c r="C275" s="10" t="s">
        <v>677</v>
      </c>
      <c r="D275" s="10" t="s">
        <v>677</v>
      </c>
      <c r="E275" s="27">
        <v>0</v>
      </c>
      <c r="F275" s="27">
        <f>ROUNDDOWN(SUMIF(R271:R274, " ", F271:F274),0)</f>
        <v>12749</v>
      </c>
      <c r="G275" s="27">
        <v>0</v>
      </c>
      <c r="H275" s="27">
        <f>ROUNDDOWN(SUMIF(R271:R274, " ", H271:H274),0)</f>
        <v>47967</v>
      </c>
      <c r="I275" s="27">
        <v>0</v>
      </c>
      <c r="J275" s="27">
        <f>ROUNDDOWN(SUMIF(R271:R274, " ", J271:J274),0)</f>
        <v>2194</v>
      </c>
      <c r="K275" s="30" t="s">
        <v>677</v>
      </c>
      <c r="L275" s="27">
        <f>F275+H275+J275</f>
        <v>62910</v>
      </c>
      <c r="M275" s="10"/>
      <c r="N275" s="9" t="s">
        <v>606</v>
      </c>
      <c r="O275" s="26" t="s">
        <v>606</v>
      </c>
    </row>
    <row r="276" spans="1:28" ht="30" customHeight="1" x14ac:dyDescent="0.3">
      <c r="A276" s="10" t="s">
        <v>677</v>
      </c>
      <c r="B276" s="10" t="s">
        <v>677</v>
      </c>
      <c r="C276" s="10" t="s">
        <v>677</v>
      </c>
      <c r="D276" s="10" t="s">
        <v>677</v>
      </c>
      <c r="E276" s="10" t="s">
        <v>677</v>
      </c>
      <c r="F276" s="10" t="s">
        <v>677</v>
      </c>
      <c r="G276" s="10" t="s">
        <v>677</v>
      </c>
      <c r="H276" s="10" t="s">
        <v>677</v>
      </c>
      <c r="I276" s="10" t="s">
        <v>677</v>
      </c>
      <c r="J276" s="10" t="s">
        <v>677</v>
      </c>
      <c r="K276" s="10" t="s">
        <v>677</v>
      </c>
      <c r="L276" s="10" t="s">
        <v>677</v>
      </c>
      <c r="M276" s="10" t="s">
        <v>677</v>
      </c>
    </row>
    <row r="277" spans="1:28" ht="30" customHeight="1" x14ac:dyDescent="0.3">
      <c r="A277" s="96" t="s">
        <v>415</v>
      </c>
      <c r="B277" s="97"/>
      <c r="C277" s="97"/>
      <c r="D277" s="97"/>
      <c r="E277" s="97"/>
      <c r="F277" s="97"/>
      <c r="G277" s="97"/>
      <c r="H277" s="97"/>
      <c r="I277" s="97"/>
      <c r="J277" s="97"/>
      <c r="K277" s="97"/>
      <c r="L277" s="97"/>
      <c r="M277" s="98"/>
      <c r="N277" s="25" t="s">
        <v>592</v>
      </c>
    </row>
    <row r="278" spans="1:28" ht="30" customHeight="1" x14ac:dyDescent="0.3">
      <c r="A278" s="10" t="s">
        <v>962</v>
      </c>
      <c r="B278" s="10" t="s">
        <v>917</v>
      </c>
      <c r="C278" s="10" t="s">
        <v>796</v>
      </c>
      <c r="D278" s="22">
        <v>0.25</v>
      </c>
      <c r="E278" s="27">
        <f>단가대비표!U65</f>
        <v>0</v>
      </c>
      <c r="F278" s="27">
        <f>ROUNDDOWN(D278*E278,2)</f>
        <v>0</v>
      </c>
      <c r="G278" s="27">
        <f>단가대비표!V65</f>
        <v>0</v>
      </c>
      <c r="H278" s="27">
        <f>ROUNDDOWN(D278*G278,2)</f>
        <v>0</v>
      </c>
      <c r="I278" s="27">
        <f>단가대비표!AE65</f>
        <v>1756</v>
      </c>
      <c r="J278" s="27">
        <f>ROUNDDOWN(D278*I278,2)</f>
        <v>439</v>
      </c>
      <c r="K278" s="27">
        <f>ROUNDDOWN(E278+G278+I278,2)</f>
        <v>1756</v>
      </c>
      <c r="L278" s="27">
        <f>ROUNDDOWN(F278+H278+J278,2)</f>
        <v>439</v>
      </c>
      <c r="M278" s="10" t="s">
        <v>972</v>
      </c>
      <c r="N278" s="25" t="s">
        <v>592</v>
      </c>
      <c r="O278" s="7" t="s">
        <v>750</v>
      </c>
      <c r="P278" s="7" t="s">
        <v>677</v>
      </c>
      <c r="Q278" s="7" t="s">
        <v>677</v>
      </c>
      <c r="R278" s="7" t="s">
        <v>184</v>
      </c>
      <c r="S278" s="28">
        <v>10</v>
      </c>
      <c r="T278" s="7" t="s">
        <v>677</v>
      </c>
      <c r="U278" s="28"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8">
        <v>0</v>
      </c>
      <c r="AB278" s="28">
        <v>0</v>
      </c>
    </row>
    <row r="279" spans="1:28" ht="30" customHeight="1" x14ac:dyDescent="0.3">
      <c r="A279" s="10" t="s">
        <v>489</v>
      </c>
      <c r="B279" s="10" t="s">
        <v>677</v>
      </c>
      <c r="C279" s="10" t="s">
        <v>677</v>
      </c>
      <c r="D279" s="10" t="s">
        <v>677</v>
      </c>
      <c r="E279" s="27">
        <v>0</v>
      </c>
      <c r="F279" s="27">
        <f>ROUNDDOWN(SUMIF(R278:R278, " ", F278:F278),0)</f>
        <v>0</v>
      </c>
      <c r="G279" s="27">
        <v>0</v>
      </c>
      <c r="H279" s="27">
        <f>ROUNDDOWN(SUMIF(R278:R278, " ", H278:H278),0)</f>
        <v>0</v>
      </c>
      <c r="I279" s="27">
        <v>0</v>
      </c>
      <c r="J279" s="27">
        <f>ROUNDDOWN(SUMIF(R278:R278, " ", J278:J278),0)</f>
        <v>439</v>
      </c>
      <c r="K279" s="30" t="s">
        <v>677</v>
      </c>
      <c r="L279" s="27">
        <f>F279+H279+J279</f>
        <v>439</v>
      </c>
      <c r="M279" s="10"/>
      <c r="N279" s="9" t="s">
        <v>606</v>
      </c>
      <c r="O279" s="26" t="s">
        <v>606</v>
      </c>
    </row>
    <row r="280" spans="1:28" ht="30" customHeight="1" x14ac:dyDescent="0.3">
      <c r="A280" s="10" t="s">
        <v>677</v>
      </c>
      <c r="B280" s="10" t="s">
        <v>677</v>
      </c>
      <c r="C280" s="10" t="s">
        <v>677</v>
      </c>
      <c r="D280" s="10" t="s">
        <v>677</v>
      </c>
      <c r="E280" s="10" t="s">
        <v>677</v>
      </c>
      <c r="F280" s="10" t="s">
        <v>677</v>
      </c>
      <c r="G280" s="10" t="s">
        <v>677</v>
      </c>
      <c r="H280" s="10" t="s">
        <v>677</v>
      </c>
      <c r="I280" s="10" t="s">
        <v>677</v>
      </c>
      <c r="J280" s="10" t="s">
        <v>677</v>
      </c>
      <c r="K280" s="10" t="s">
        <v>677</v>
      </c>
      <c r="L280" s="10" t="s">
        <v>677</v>
      </c>
      <c r="M280" s="10" t="s">
        <v>677</v>
      </c>
    </row>
    <row r="281" spans="1:28" ht="30" customHeight="1" x14ac:dyDescent="0.3">
      <c r="A281" s="96" t="s">
        <v>182</v>
      </c>
      <c r="B281" s="97"/>
      <c r="C281" s="97"/>
      <c r="D281" s="97"/>
      <c r="E281" s="97"/>
      <c r="F281" s="97"/>
      <c r="G281" s="97"/>
      <c r="H281" s="97"/>
      <c r="I281" s="97"/>
      <c r="J281" s="97"/>
      <c r="K281" s="97"/>
      <c r="L281" s="97"/>
      <c r="M281" s="98"/>
      <c r="N281" s="25" t="s">
        <v>141</v>
      </c>
    </row>
    <row r="282" spans="1:28" ht="30" customHeight="1" x14ac:dyDescent="0.3">
      <c r="A282" s="10" t="s">
        <v>413</v>
      </c>
      <c r="B282" s="10" t="s">
        <v>220</v>
      </c>
      <c r="C282" s="10" t="s">
        <v>526</v>
      </c>
      <c r="D282" s="22">
        <v>6.0000000000000001E-3</v>
      </c>
      <c r="E282" s="27">
        <f>단가대비표!U38</f>
        <v>0</v>
      </c>
      <c r="F282" s="27">
        <f>ROUNDDOWN(D282*E282,2)</f>
        <v>0</v>
      </c>
      <c r="G282" s="27">
        <f>단가대비표!V38</f>
        <v>192375</v>
      </c>
      <c r="H282" s="27">
        <f>ROUNDDOWN(D282*G282,2)</f>
        <v>1154.25</v>
      </c>
      <c r="I282" s="27">
        <f>단가대비표!AE38</f>
        <v>0</v>
      </c>
      <c r="J282" s="27">
        <f>ROUNDDOWN(D282*I282,2)</f>
        <v>0</v>
      </c>
      <c r="K282" s="27">
        <f>ROUNDDOWN(E282+G282+I282,2)</f>
        <v>192375</v>
      </c>
      <c r="L282" s="27">
        <f>ROUNDDOWN(F282+H282+J282,2)</f>
        <v>1154.25</v>
      </c>
      <c r="M282" s="10" t="s">
        <v>613</v>
      </c>
      <c r="N282" s="25" t="s">
        <v>141</v>
      </c>
      <c r="O282" s="7" t="s">
        <v>1041</v>
      </c>
      <c r="P282" s="7" t="s">
        <v>677</v>
      </c>
      <c r="Q282" s="7" t="s">
        <v>677</v>
      </c>
      <c r="R282" s="7" t="s">
        <v>184</v>
      </c>
      <c r="S282" s="28">
        <v>10</v>
      </c>
      <c r="T282" s="7" t="s">
        <v>677</v>
      </c>
      <c r="U282" s="28">
        <v>0</v>
      </c>
      <c r="V282" s="28">
        <v>0</v>
      </c>
      <c r="W282" s="28">
        <v>0</v>
      </c>
      <c r="X282" s="28">
        <v>0</v>
      </c>
      <c r="Y282" s="28">
        <v>0</v>
      </c>
      <c r="Z282" s="28">
        <v>0</v>
      </c>
      <c r="AA282" s="28">
        <v>0</v>
      </c>
      <c r="AB282" s="28">
        <v>0</v>
      </c>
    </row>
    <row r="283" spans="1:28" ht="30" customHeight="1" x14ac:dyDescent="0.3">
      <c r="A283" s="10" t="s">
        <v>489</v>
      </c>
      <c r="B283" s="10" t="s">
        <v>677</v>
      </c>
      <c r="C283" s="10" t="s">
        <v>677</v>
      </c>
      <c r="D283" s="10" t="s">
        <v>677</v>
      </c>
      <c r="E283" s="27">
        <v>0</v>
      </c>
      <c r="F283" s="27">
        <f>ROUNDDOWN(SUMIF(R282:R282, " ", F282:F282),0)</f>
        <v>0</v>
      </c>
      <c r="G283" s="27">
        <v>0</v>
      </c>
      <c r="H283" s="27">
        <f>ROUNDDOWN(SUMIF(R282:R282, " ", H282:H282),0)</f>
        <v>1154</v>
      </c>
      <c r="I283" s="27">
        <v>0</v>
      </c>
      <c r="J283" s="27">
        <f>ROUNDDOWN(SUMIF(R282:R282, " ", J282:J282),0)</f>
        <v>0</v>
      </c>
      <c r="K283" s="30" t="s">
        <v>677</v>
      </c>
      <c r="L283" s="27">
        <f>F283+H283+J283</f>
        <v>1154</v>
      </c>
      <c r="M283" s="10"/>
      <c r="N283" s="9" t="s">
        <v>606</v>
      </c>
      <c r="O283" s="26" t="s">
        <v>606</v>
      </c>
    </row>
    <row r="284" spans="1:28" ht="30" customHeight="1" x14ac:dyDescent="0.3">
      <c r="A284" s="10" t="s">
        <v>677</v>
      </c>
      <c r="B284" s="10" t="s">
        <v>677</v>
      </c>
      <c r="C284" s="10" t="s">
        <v>677</v>
      </c>
      <c r="D284" s="10" t="s">
        <v>677</v>
      </c>
      <c r="E284" s="10" t="s">
        <v>677</v>
      </c>
      <c r="F284" s="10" t="s">
        <v>677</v>
      </c>
      <c r="G284" s="10" t="s">
        <v>677</v>
      </c>
      <c r="H284" s="10" t="s">
        <v>677</v>
      </c>
      <c r="I284" s="10" t="s">
        <v>677</v>
      </c>
      <c r="J284" s="10" t="s">
        <v>677</v>
      </c>
      <c r="K284" s="10" t="s">
        <v>677</v>
      </c>
      <c r="L284" s="10" t="s">
        <v>677</v>
      </c>
      <c r="M284" s="10" t="s">
        <v>677</v>
      </c>
    </row>
    <row r="285" spans="1:28" ht="30" customHeight="1" x14ac:dyDescent="0.3">
      <c r="A285" s="96" t="s">
        <v>291</v>
      </c>
      <c r="B285" s="97"/>
      <c r="C285" s="97"/>
      <c r="D285" s="97"/>
      <c r="E285" s="97"/>
      <c r="F285" s="97"/>
      <c r="G285" s="97"/>
      <c r="H285" s="97"/>
      <c r="I285" s="97"/>
      <c r="J285" s="97"/>
      <c r="K285" s="97"/>
      <c r="L285" s="97"/>
      <c r="M285" s="98"/>
      <c r="N285" s="25" t="s">
        <v>42</v>
      </c>
    </row>
    <row r="286" spans="1:28" ht="30" customHeight="1" x14ac:dyDescent="0.3">
      <c r="A286" s="10" t="s">
        <v>977</v>
      </c>
      <c r="B286" s="10" t="s">
        <v>220</v>
      </c>
      <c r="C286" s="10" t="s">
        <v>526</v>
      </c>
      <c r="D286" s="22">
        <v>0.66</v>
      </c>
      <c r="E286" s="27">
        <f>단가대비표!U37</f>
        <v>0</v>
      </c>
      <c r="F286" s="27">
        <f>ROUNDDOWN(D286*E286,2)</f>
        <v>0</v>
      </c>
      <c r="G286" s="27">
        <f>단가대비표!V37</f>
        <v>153671</v>
      </c>
      <c r="H286" s="27">
        <f>ROUNDDOWN(D286*G286,2)</f>
        <v>101422.86</v>
      </c>
      <c r="I286" s="27">
        <f>단가대비표!AE37</f>
        <v>0</v>
      </c>
      <c r="J286" s="27">
        <f>ROUNDDOWN(D286*I286,2)</f>
        <v>0</v>
      </c>
      <c r="K286" s="27">
        <f>ROUNDDOWN(E286+G286+I286,2)</f>
        <v>153671</v>
      </c>
      <c r="L286" s="27">
        <f>ROUNDDOWN(F286+H286+J286,2)</f>
        <v>101422.86</v>
      </c>
      <c r="M286" s="10" t="s">
        <v>122</v>
      </c>
      <c r="N286" s="25" t="s">
        <v>42</v>
      </c>
      <c r="O286" s="7" t="s">
        <v>43</v>
      </c>
      <c r="P286" s="7" t="s">
        <v>677</v>
      </c>
      <c r="Q286" s="7" t="s">
        <v>677</v>
      </c>
      <c r="R286" s="7" t="s">
        <v>184</v>
      </c>
      <c r="S286" s="28">
        <v>10</v>
      </c>
      <c r="T286" s="7" t="s">
        <v>677</v>
      </c>
      <c r="U286" s="28"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8">
        <v>0</v>
      </c>
      <c r="AB286" s="28">
        <v>0</v>
      </c>
    </row>
    <row r="287" spans="1:28" ht="30" customHeight="1" x14ac:dyDescent="0.3">
      <c r="A287" s="10" t="s">
        <v>489</v>
      </c>
      <c r="B287" s="10" t="s">
        <v>677</v>
      </c>
      <c r="C287" s="10" t="s">
        <v>677</v>
      </c>
      <c r="D287" s="10" t="s">
        <v>677</v>
      </c>
      <c r="E287" s="27">
        <v>0</v>
      </c>
      <c r="F287" s="27">
        <f>ROUNDDOWN(SUMIF(R286:R286, " ", F286:F286),0)</f>
        <v>0</v>
      </c>
      <c r="G287" s="27">
        <v>0</v>
      </c>
      <c r="H287" s="27">
        <f>ROUNDDOWN(SUMIF(R286:R286, " ", H286:H286),0)</f>
        <v>101422</v>
      </c>
      <c r="I287" s="27">
        <v>0</v>
      </c>
      <c r="J287" s="27">
        <f>ROUNDDOWN(SUMIF(R286:R286, " ", J286:J286),0)</f>
        <v>0</v>
      </c>
      <c r="K287" s="30" t="s">
        <v>677</v>
      </c>
      <c r="L287" s="27">
        <f>F287+H287+J287</f>
        <v>101422</v>
      </c>
      <c r="M287" s="10"/>
      <c r="N287" s="9" t="s">
        <v>606</v>
      </c>
      <c r="O287" s="26" t="s">
        <v>606</v>
      </c>
    </row>
    <row r="288" spans="1:28" ht="30" customHeight="1" x14ac:dyDescent="0.3">
      <c r="A288" s="10" t="s">
        <v>677</v>
      </c>
      <c r="B288" s="10" t="s">
        <v>677</v>
      </c>
      <c r="C288" s="10" t="s">
        <v>677</v>
      </c>
      <c r="D288" s="10" t="s">
        <v>677</v>
      </c>
      <c r="E288" s="10" t="s">
        <v>677</v>
      </c>
      <c r="F288" s="10" t="s">
        <v>677</v>
      </c>
      <c r="G288" s="10" t="s">
        <v>677</v>
      </c>
      <c r="H288" s="10" t="s">
        <v>677</v>
      </c>
      <c r="I288" s="10" t="s">
        <v>677</v>
      </c>
      <c r="J288" s="10" t="s">
        <v>677</v>
      </c>
      <c r="K288" s="10" t="s">
        <v>677</v>
      </c>
      <c r="L288" s="10" t="s">
        <v>677</v>
      </c>
      <c r="M288" s="10" t="s">
        <v>677</v>
      </c>
    </row>
    <row r="289" spans="1:28" ht="30" customHeight="1" x14ac:dyDescent="0.3">
      <c r="A289" s="96" t="s">
        <v>644</v>
      </c>
      <c r="B289" s="97"/>
      <c r="C289" s="97"/>
      <c r="D289" s="97"/>
      <c r="E289" s="97"/>
      <c r="F289" s="97"/>
      <c r="G289" s="97"/>
      <c r="H289" s="97"/>
      <c r="I289" s="97"/>
      <c r="J289" s="97"/>
      <c r="K289" s="97"/>
      <c r="L289" s="97"/>
      <c r="M289" s="98"/>
      <c r="N289" s="25" t="s">
        <v>653</v>
      </c>
    </row>
    <row r="290" spans="1:28" ht="30" customHeight="1" x14ac:dyDescent="0.3">
      <c r="A290" s="10" t="s">
        <v>711</v>
      </c>
      <c r="B290" s="10" t="s">
        <v>650</v>
      </c>
      <c r="C290" s="10" t="s">
        <v>961</v>
      </c>
      <c r="D290" s="22">
        <v>1093</v>
      </c>
      <c r="E290" s="27">
        <f>단가대비표!U19</f>
        <v>0</v>
      </c>
      <c r="F290" s="27">
        <f>ROUNDDOWN(D290*E290,2)</f>
        <v>0</v>
      </c>
      <c r="G290" s="27">
        <f>단가대비표!V19</f>
        <v>0</v>
      </c>
      <c r="H290" s="27">
        <f>ROUNDDOWN(D290*G290,2)</f>
        <v>0</v>
      </c>
      <c r="I290" s="27">
        <f>단가대비표!AE19</f>
        <v>0</v>
      </c>
      <c r="J290" s="27">
        <f>ROUNDDOWN(D290*I290,2)</f>
        <v>0</v>
      </c>
      <c r="K290" s="27">
        <f t="shared" ref="K290:L292" si="39">ROUNDDOWN(E290+G290+I290,2)</f>
        <v>0</v>
      </c>
      <c r="L290" s="27">
        <f t="shared" si="39"/>
        <v>0</v>
      </c>
      <c r="M290" s="10" t="s">
        <v>880</v>
      </c>
      <c r="N290" s="25" t="s">
        <v>653</v>
      </c>
      <c r="O290" s="7" t="s">
        <v>571</v>
      </c>
      <c r="P290" s="7" t="s">
        <v>677</v>
      </c>
      <c r="Q290" s="7" t="s">
        <v>677</v>
      </c>
      <c r="R290" s="7" t="s">
        <v>94</v>
      </c>
      <c r="S290" s="28">
        <v>10</v>
      </c>
      <c r="T290" s="7" t="s">
        <v>677</v>
      </c>
      <c r="U290" s="28"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8">
        <v>0</v>
      </c>
      <c r="AB290" s="28">
        <v>0</v>
      </c>
    </row>
    <row r="291" spans="1:28" ht="30" customHeight="1" x14ac:dyDescent="0.3">
      <c r="A291" s="10" t="s">
        <v>951</v>
      </c>
      <c r="B291" s="10" t="s">
        <v>650</v>
      </c>
      <c r="C291" s="10" t="s">
        <v>71</v>
      </c>
      <c r="D291" s="22">
        <v>0.78</v>
      </c>
      <c r="E291" s="27">
        <f>단가대비표!U8</f>
        <v>0</v>
      </c>
      <c r="F291" s="27">
        <f>ROUNDDOWN(D291*E291,2)</f>
        <v>0</v>
      </c>
      <c r="G291" s="27">
        <f>단가대비표!V8</f>
        <v>0</v>
      </c>
      <c r="H291" s="27">
        <f>ROUNDDOWN(D291*G291,2)</f>
        <v>0</v>
      </c>
      <c r="I291" s="27">
        <f>단가대비표!AE8</f>
        <v>0</v>
      </c>
      <c r="J291" s="27">
        <f>ROUNDDOWN(D291*I291,2)</f>
        <v>0</v>
      </c>
      <c r="K291" s="27">
        <f t="shared" si="39"/>
        <v>0</v>
      </c>
      <c r="L291" s="27">
        <f t="shared" si="39"/>
        <v>0</v>
      </c>
      <c r="M291" s="10" t="s">
        <v>102</v>
      </c>
      <c r="N291" s="25" t="s">
        <v>653</v>
      </c>
      <c r="O291" s="7" t="s">
        <v>31</v>
      </c>
      <c r="P291" s="7" t="s">
        <v>677</v>
      </c>
      <c r="Q291" s="7" t="s">
        <v>677</v>
      </c>
      <c r="R291" s="7" t="s">
        <v>94</v>
      </c>
      <c r="S291" s="28">
        <v>20</v>
      </c>
      <c r="T291" s="7" t="s">
        <v>677</v>
      </c>
      <c r="U291" s="28">
        <v>0</v>
      </c>
      <c r="V291" s="28">
        <v>0</v>
      </c>
      <c r="W291" s="28">
        <v>0</v>
      </c>
      <c r="X291" s="28">
        <v>0</v>
      </c>
      <c r="Y291" s="28">
        <v>0</v>
      </c>
      <c r="Z291" s="28">
        <v>0</v>
      </c>
      <c r="AA291" s="28">
        <v>0</v>
      </c>
      <c r="AB291" s="28">
        <v>0</v>
      </c>
    </row>
    <row r="292" spans="1:28" ht="30" customHeight="1" x14ac:dyDescent="0.3">
      <c r="A292" s="10" t="s">
        <v>803</v>
      </c>
      <c r="B292" s="10" t="s">
        <v>371</v>
      </c>
      <c r="C292" s="10" t="s">
        <v>71</v>
      </c>
      <c r="D292" s="22">
        <v>1</v>
      </c>
      <c r="E292" s="27">
        <f>일위대가목록!E50</f>
        <v>0</v>
      </c>
      <c r="F292" s="27">
        <f>ROUNDDOWN(D292*E292,2)</f>
        <v>0</v>
      </c>
      <c r="G292" s="27">
        <f>일위대가목록!F50</f>
        <v>101422</v>
      </c>
      <c r="H292" s="27">
        <f>ROUNDDOWN(D292*G292,2)</f>
        <v>101422</v>
      </c>
      <c r="I292" s="27">
        <f>일위대가목록!G50</f>
        <v>0</v>
      </c>
      <c r="J292" s="27">
        <f>ROUNDDOWN(D292*I292,2)</f>
        <v>0</v>
      </c>
      <c r="K292" s="27">
        <f t="shared" si="39"/>
        <v>101422</v>
      </c>
      <c r="L292" s="27">
        <f t="shared" si="39"/>
        <v>101422</v>
      </c>
      <c r="M292" s="10" t="s">
        <v>828</v>
      </c>
      <c r="N292" s="25" t="s">
        <v>653</v>
      </c>
      <c r="O292" s="7" t="s">
        <v>42</v>
      </c>
      <c r="P292" s="7" t="s">
        <v>677</v>
      </c>
      <c r="Q292" s="7" t="s">
        <v>677</v>
      </c>
      <c r="R292" s="7" t="s">
        <v>184</v>
      </c>
      <c r="S292" s="28">
        <v>30</v>
      </c>
      <c r="T292" s="7" t="s">
        <v>677</v>
      </c>
      <c r="U292" s="28">
        <v>0</v>
      </c>
      <c r="V292" s="28">
        <v>0</v>
      </c>
      <c r="W292" s="28">
        <v>0</v>
      </c>
      <c r="X292" s="28">
        <v>0</v>
      </c>
      <c r="Y292" s="28">
        <v>0</v>
      </c>
      <c r="Z292" s="28">
        <v>0</v>
      </c>
      <c r="AA292" s="28">
        <v>0</v>
      </c>
      <c r="AB292" s="28">
        <v>0</v>
      </c>
    </row>
    <row r="293" spans="1:28" ht="30" customHeight="1" x14ac:dyDescent="0.3">
      <c r="A293" s="10" t="s">
        <v>489</v>
      </c>
      <c r="B293" s="10" t="s">
        <v>677</v>
      </c>
      <c r="C293" s="10" t="s">
        <v>677</v>
      </c>
      <c r="D293" s="10" t="s">
        <v>677</v>
      </c>
      <c r="E293" s="27">
        <v>0</v>
      </c>
      <c r="F293" s="27">
        <f>ROUNDDOWN(SUMIF(R290:R292, " ", F290:F292),0)</f>
        <v>0</v>
      </c>
      <c r="G293" s="27">
        <v>0</v>
      </c>
      <c r="H293" s="27">
        <f>ROUNDDOWN(SUMIF(R290:R292, " ", H290:H292),0)</f>
        <v>101422</v>
      </c>
      <c r="I293" s="27">
        <v>0</v>
      </c>
      <c r="J293" s="27">
        <f>ROUNDDOWN(SUMIF(R290:R292, " ", J290:J292),0)</f>
        <v>0</v>
      </c>
      <c r="K293" s="30" t="s">
        <v>677</v>
      </c>
      <c r="L293" s="27">
        <f>F293+H293+J293</f>
        <v>101422</v>
      </c>
      <c r="M293" s="10"/>
      <c r="N293" s="9" t="s">
        <v>606</v>
      </c>
      <c r="O293" s="26" t="s">
        <v>606</v>
      </c>
    </row>
    <row r="294" spans="1:28" ht="30" customHeight="1" x14ac:dyDescent="0.3">
      <c r="A294" s="10" t="s">
        <v>677</v>
      </c>
      <c r="B294" s="10" t="s">
        <v>677</v>
      </c>
      <c r="C294" s="10" t="s">
        <v>677</v>
      </c>
      <c r="D294" s="10" t="s">
        <v>677</v>
      </c>
      <c r="E294" s="10" t="s">
        <v>677</v>
      </c>
      <c r="F294" s="10" t="s">
        <v>677</v>
      </c>
      <c r="G294" s="10" t="s">
        <v>677</v>
      </c>
      <c r="H294" s="10" t="s">
        <v>677</v>
      </c>
      <c r="I294" s="10" t="s">
        <v>677</v>
      </c>
      <c r="J294" s="10" t="s">
        <v>677</v>
      </c>
      <c r="K294" s="10" t="s">
        <v>677</v>
      </c>
      <c r="L294" s="10" t="s">
        <v>677</v>
      </c>
      <c r="M294" s="10" t="s">
        <v>677</v>
      </c>
    </row>
    <row r="295" spans="1:28" ht="30" customHeight="1" x14ac:dyDescent="0.3">
      <c r="A295" s="96" t="s">
        <v>1032</v>
      </c>
      <c r="B295" s="97"/>
      <c r="C295" s="97"/>
      <c r="D295" s="97"/>
      <c r="E295" s="97"/>
      <c r="F295" s="97"/>
      <c r="G295" s="97"/>
      <c r="H295" s="97"/>
      <c r="I295" s="97"/>
      <c r="J295" s="97"/>
      <c r="K295" s="97"/>
      <c r="L295" s="97"/>
      <c r="M295" s="98"/>
      <c r="N295" s="25" t="s">
        <v>885</v>
      </c>
    </row>
    <row r="296" spans="1:28" ht="30" customHeight="1" x14ac:dyDescent="0.3">
      <c r="A296" s="10" t="s">
        <v>711</v>
      </c>
      <c r="B296" s="10" t="s">
        <v>650</v>
      </c>
      <c r="C296" s="10" t="s">
        <v>961</v>
      </c>
      <c r="D296" s="22">
        <v>510</v>
      </c>
      <c r="E296" s="27">
        <f>단가대비표!U19</f>
        <v>0</v>
      </c>
      <c r="F296" s="27">
        <f>ROUNDDOWN(D296*E296,2)</f>
        <v>0</v>
      </c>
      <c r="G296" s="27">
        <f>단가대비표!V19</f>
        <v>0</v>
      </c>
      <c r="H296" s="27">
        <f>ROUNDDOWN(D296*G296,2)</f>
        <v>0</v>
      </c>
      <c r="I296" s="27">
        <f>단가대비표!AE19</f>
        <v>0</v>
      </c>
      <c r="J296" s="27">
        <f>ROUNDDOWN(D296*I296,2)</f>
        <v>0</v>
      </c>
      <c r="K296" s="27">
        <f t="shared" ref="K296:L298" si="40">ROUNDDOWN(E296+G296+I296,2)</f>
        <v>0</v>
      </c>
      <c r="L296" s="27">
        <f t="shared" si="40"/>
        <v>0</v>
      </c>
      <c r="M296" s="10" t="s">
        <v>880</v>
      </c>
      <c r="N296" s="25" t="s">
        <v>885</v>
      </c>
      <c r="O296" s="7" t="s">
        <v>571</v>
      </c>
      <c r="P296" s="7" t="s">
        <v>677</v>
      </c>
      <c r="Q296" s="7" t="s">
        <v>677</v>
      </c>
      <c r="R296" s="7" t="s">
        <v>94</v>
      </c>
      <c r="S296" s="28">
        <v>10</v>
      </c>
      <c r="T296" s="7" t="s">
        <v>677</v>
      </c>
      <c r="U296" s="28">
        <v>0</v>
      </c>
      <c r="V296" s="28">
        <v>0</v>
      </c>
      <c r="W296" s="28">
        <v>0</v>
      </c>
      <c r="X296" s="28">
        <v>0</v>
      </c>
      <c r="Y296" s="28">
        <v>0</v>
      </c>
      <c r="Z296" s="28">
        <v>0</v>
      </c>
      <c r="AA296" s="28">
        <v>0</v>
      </c>
      <c r="AB296" s="28">
        <v>0</v>
      </c>
    </row>
    <row r="297" spans="1:28" ht="30" customHeight="1" x14ac:dyDescent="0.3">
      <c r="A297" s="10" t="s">
        <v>951</v>
      </c>
      <c r="B297" s="10" t="s">
        <v>650</v>
      </c>
      <c r="C297" s="10" t="s">
        <v>71</v>
      </c>
      <c r="D297" s="22">
        <v>1.1000000000000001</v>
      </c>
      <c r="E297" s="27">
        <f>단가대비표!U8</f>
        <v>0</v>
      </c>
      <c r="F297" s="27">
        <f>ROUNDDOWN(D297*E297,2)</f>
        <v>0</v>
      </c>
      <c r="G297" s="27">
        <f>단가대비표!V8</f>
        <v>0</v>
      </c>
      <c r="H297" s="27">
        <f>ROUNDDOWN(D297*G297,2)</f>
        <v>0</v>
      </c>
      <c r="I297" s="27">
        <f>단가대비표!AE8</f>
        <v>0</v>
      </c>
      <c r="J297" s="27">
        <f>ROUNDDOWN(D297*I297,2)</f>
        <v>0</v>
      </c>
      <c r="K297" s="27">
        <f t="shared" si="40"/>
        <v>0</v>
      </c>
      <c r="L297" s="27">
        <f t="shared" si="40"/>
        <v>0</v>
      </c>
      <c r="M297" s="10" t="s">
        <v>102</v>
      </c>
      <c r="N297" s="25" t="s">
        <v>885</v>
      </c>
      <c r="O297" s="7" t="s">
        <v>31</v>
      </c>
      <c r="P297" s="7" t="s">
        <v>677</v>
      </c>
      <c r="Q297" s="7" t="s">
        <v>677</v>
      </c>
      <c r="R297" s="7" t="s">
        <v>94</v>
      </c>
      <c r="S297" s="28">
        <v>20</v>
      </c>
      <c r="T297" s="7" t="s">
        <v>677</v>
      </c>
      <c r="U297" s="28">
        <v>0</v>
      </c>
      <c r="V297" s="28">
        <v>0</v>
      </c>
      <c r="W297" s="28">
        <v>0</v>
      </c>
      <c r="X297" s="28">
        <v>0</v>
      </c>
      <c r="Y297" s="28">
        <v>0</v>
      </c>
      <c r="Z297" s="28">
        <v>0</v>
      </c>
      <c r="AA297" s="28">
        <v>0</v>
      </c>
      <c r="AB297" s="28">
        <v>0</v>
      </c>
    </row>
    <row r="298" spans="1:28" ht="30" customHeight="1" x14ac:dyDescent="0.3">
      <c r="A298" s="10" t="s">
        <v>803</v>
      </c>
      <c r="B298" s="10" t="s">
        <v>371</v>
      </c>
      <c r="C298" s="10" t="s">
        <v>71</v>
      </c>
      <c r="D298" s="22">
        <v>1</v>
      </c>
      <c r="E298" s="27">
        <f>일위대가목록!E50</f>
        <v>0</v>
      </c>
      <c r="F298" s="27">
        <f>ROUNDDOWN(D298*E298,2)</f>
        <v>0</v>
      </c>
      <c r="G298" s="27">
        <f>일위대가목록!F50</f>
        <v>101422</v>
      </c>
      <c r="H298" s="27">
        <f>ROUNDDOWN(D298*G298,2)</f>
        <v>101422</v>
      </c>
      <c r="I298" s="27">
        <f>일위대가목록!G50</f>
        <v>0</v>
      </c>
      <c r="J298" s="27">
        <f>ROUNDDOWN(D298*I298,2)</f>
        <v>0</v>
      </c>
      <c r="K298" s="27">
        <f t="shared" si="40"/>
        <v>101422</v>
      </c>
      <c r="L298" s="27">
        <f t="shared" si="40"/>
        <v>101422</v>
      </c>
      <c r="M298" s="10" t="s">
        <v>828</v>
      </c>
      <c r="N298" s="25" t="s">
        <v>885</v>
      </c>
      <c r="O298" s="7" t="s">
        <v>42</v>
      </c>
      <c r="P298" s="7" t="s">
        <v>677</v>
      </c>
      <c r="Q298" s="7" t="s">
        <v>677</v>
      </c>
      <c r="R298" s="7" t="s">
        <v>184</v>
      </c>
      <c r="S298" s="28">
        <v>30</v>
      </c>
      <c r="T298" s="7" t="s">
        <v>677</v>
      </c>
      <c r="U298" s="28">
        <v>0</v>
      </c>
      <c r="V298" s="28">
        <v>0</v>
      </c>
      <c r="W298" s="28">
        <v>0</v>
      </c>
      <c r="X298" s="28">
        <v>0</v>
      </c>
      <c r="Y298" s="28">
        <v>0</v>
      </c>
      <c r="Z298" s="28">
        <v>0</v>
      </c>
      <c r="AA298" s="28">
        <v>0</v>
      </c>
      <c r="AB298" s="28">
        <v>0</v>
      </c>
    </row>
    <row r="299" spans="1:28" ht="30" customHeight="1" x14ac:dyDescent="0.3">
      <c r="A299" s="10" t="s">
        <v>489</v>
      </c>
      <c r="B299" s="10" t="s">
        <v>677</v>
      </c>
      <c r="C299" s="10" t="s">
        <v>677</v>
      </c>
      <c r="D299" s="10" t="s">
        <v>677</v>
      </c>
      <c r="E299" s="27">
        <v>0</v>
      </c>
      <c r="F299" s="27">
        <f>ROUNDDOWN(SUMIF(R296:R298, " ", F296:F298),0)</f>
        <v>0</v>
      </c>
      <c r="G299" s="27">
        <v>0</v>
      </c>
      <c r="H299" s="27">
        <f>ROUNDDOWN(SUMIF(R296:R298, " ", H296:H298),0)</f>
        <v>101422</v>
      </c>
      <c r="I299" s="27">
        <v>0</v>
      </c>
      <c r="J299" s="27">
        <f>ROUNDDOWN(SUMIF(R296:R298, " ", J296:J298),0)</f>
        <v>0</v>
      </c>
      <c r="K299" s="30" t="s">
        <v>677</v>
      </c>
      <c r="L299" s="27">
        <f>F299+H299+J299</f>
        <v>101422</v>
      </c>
      <c r="M299" s="10"/>
      <c r="N299" s="9" t="s">
        <v>606</v>
      </c>
      <c r="O299" s="26" t="s">
        <v>606</v>
      </c>
    </row>
    <row r="300" spans="1:28" ht="30" customHeight="1" x14ac:dyDescent="0.3">
      <c r="A300" s="10" t="s">
        <v>677</v>
      </c>
      <c r="B300" s="10" t="s">
        <v>677</v>
      </c>
      <c r="C300" s="10" t="s">
        <v>677</v>
      </c>
      <c r="D300" s="10" t="s">
        <v>677</v>
      </c>
      <c r="E300" s="10" t="s">
        <v>677</v>
      </c>
      <c r="F300" s="10" t="s">
        <v>677</v>
      </c>
      <c r="G300" s="10" t="s">
        <v>677</v>
      </c>
      <c r="H300" s="10" t="s">
        <v>677</v>
      </c>
      <c r="I300" s="10" t="s">
        <v>677</v>
      </c>
      <c r="J300" s="10" t="s">
        <v>677</v>
      </c>
      <c r="K300" s="10" t="s">
        <v>677</v>
      </c>
      <c r="L300" s="10" t="s">
        <v>677</v>
      </c>
      <c r="M300" s="10" t="s">
        <v>677</v>
      </c>
    </row>
    <row r="301" spans="1:28" ht="30" customHeight="1" x14ac:dyDescent="0.3">
      <c r="A301" s="96" t="s">
        <v>860</v>
      </c>
      <c r="B301" s="97"/>
      <c r="C301" s="97"/>
      <c r="D301" s="97"/>
      <c r="E301" s="97"/>
      <c r="F301" s="97"/>
      <c r="G301" s="97"/>
      <c r="H301" s="97"/>
      <c r="I301" s="97"/>
      <c r="J301" s="97"/>
      <c r="K301" s="97"/>
      <c r="L301" s="97"/>
      <c r="M301" s="98"/>
      <c r="N301" s="25" t="s">
        <v>21</v>
      </c>
    </row>
    <row r="302" spans="1:28" ht="30" customHeight="1" x14ac:dyDescent="0.3">
      <c r="A302" s="10" t="s">
        <v>441</v>
      </c>
      <c r="B302" s="10" t="s">
        <v>220</v>
      </c>
      <c r="C302" s="10" t="s">
        <v>526</v>
      </c>
      <c r="D302" s="22">
        <v>0.02</v>
      </c>
      <c r="E302" s="27">
        <f>단가대비표!U48</f>
        <v>0</v>
      </c>
      <c r="F302" s="27">
        <f>ROUNDDOWN(D302*E302,2)</f>
        <v>0</v>
      </c>
      <c r="G302" s="27">
        <f>단가대비표!V48</f>
        <v>235799</v>
      </c>
      <c r="H302" s="27">
        <f>ROUNDDOWN(D302*G302,2)</f>
        <v>4715.9799999999996</v>
      </c>
      <c r="I302" s="27">
        <f>단가대비표!AE48</f>
        <v>0</v>
      </c>
      <c r="J302" s="27">
        <f>ROUNDDOWN(D302*I302,2)</f>
        <v>0</v>
      </c>
      <c r="K302" s="27">
        <f t="shared" ref="K302:L306" si="41">ROUNDDOWN(E302+G302+I302,2)</f>
        <v>235799</v>
      </c>
      <c r="L302" s="27">
        <f t="shared" si="41"/>
        <v>4715.9799999999996</v>
      </c>
      <c r="M302" s="10" t="s">
        <v>968</v>
      </c>
      <c r="N302" s="25" t="s">
        <v>21</v>
      </c>
      <c r="O302" s="7" t="s">
        <v>271</v>
      </c>
      <c r="P302" s="7" t="s">
        <v>677</v>
      </c>
      <c r="Q302" s="7" t="s">
        <v>677</v>
      </c>
      <c r="R302" s="7" t="s">
        <v>184</v>
      </c>
      <c r="S302" s="28">
        <v>10</v>
      </c>
      <c r="T302" s="7" t="s">
        <v>677</v>
      </c>
      <c r="U302" s="28">
        <v>0</v>
      </c>
      <c r="V302" s="28">
        <v>1</v>
      </c>
      <c r="W302" s="28">
        <v>0</v>
      </c>
      <c r="X302" s="28">
        <v>0</v>
      </c>
      <c r="Y302" s="28">
        <v>0</v>
      </c>
      <c r="Z302" s="28">
        <v>0</v>
      </c>
      <c r="AA302" s="28">
        <v>0</v>
      </c>
      <c r="AB302" s="28">
        <v>0</v>
      </c>
    </row>
    <row r="303" spans="1:28" ht="30" customHeight="1" x14ac:dyDescent="0.3">
      <c r="A303" s="10" t="s">
        <v>977</v>
      </c>
      <c r="B303" s="10" t="s">
        <v>220</v>
      </c>
      <c r="C303" s="10" t="s">
        <v>526</v>
      </c>
      <c r="D303" s="22">
        <v>4.0000000000000001E-3</v>
      </c>
      <c r="E303" s="27">
        <f>단가대비표!U37</f>
        <v>0</v>
      </c>
      <c r="F303" s="27">
        <f>ROUNDDOWN(D303*E303,2)</f>
        <v>0</v>
      </c>
      <c r="G303" s="27">
        <f>단가대비표!V37</f>
        <v>153671</v>
      </c>
      <c r="H303" s="27">
        <f>ROUNDDOWN(D303*G303,2)</f>
        <v>614.67999999999995</v>
      </c>
      <c r="I303" s="27">
        <f>단가대비표!AE37</f>
        <v>0</v>
      </c>
      <c r="J303" s="27">
        <f>ROUNDDOWN(D303*I303,2)</f>
        <v>0</v>
      </c>
      <c r="K303" s="27">
        <f t="shared" si="41"/>
        <v>153671</v>
      </c>
      <c r="L303" s="27">
        <f t="shared" si="41"/>
        <v>614.67999999999995</v>
      </c>
      <c r="M303" s="10" t="s">
        <v>122</v>
      </c>
      <c r="N303" s="25" t="s">
        <v>21</v>
      </c>
      <c r="O303" s="7" t="s">
        <v>43</v>
      </c>
      <c r="P303" s="7" t="s">
        <v>677</v>
      </c>
      <c r="Q303" s="7" t="s">
        <v>677</v>
      </c>
      <c r="R303" s="7" t="s">
        <v>184</v>
      </c>
      <c r="S303" s="28">
        <v>20</v>
      </c>
      <c r="T303" s="7" t="s">
        <v>677</v>
      </c>
      <c r="U303" s="28">
        <v>0</v>
      </c>
      <c r="V303" s="28">
        <v>1</v>
      </c>
      <c r="W303" s="28">
        <v>0</v>
      </c>
      <c r="X303" s="28">
        <v>0</v>
      </c>
      <c r="Y303" s="28">
        <v>0</v>
      </c>
      <c r="Z303" s="28">
        <v>0</v>
      </c>
      <c r="AA303" s="28">
        <v>0</v>
      </c>
      <c r="AB303" s="28">
        <v>0</v>
      </c>
    </row>
    <row r="304" spans="1:28" ht="30" customHeight="1" x14ac:dyDescent="0.3">
      <c r="A304" s="10" t="s">
        <v>441</v>
      </c>
      <c r="B304" s="10" t="s">
        <v>220</v>
      </c>
      <c r="C304" s="10" t="s">
        <v>526</v>
      </c>
      <c r="D304" s="22">
        <v>0.02</v>
      </c>
      <c r="E304" s="27">
        <f>단가대비표!U48</f>
        <v>0</v>
      </c>
      <c r="F304" s="27">
        <f>ROUNDDOWN(D304*E304,2)</f>
        <v>0</v>
      </c>
      <c r="G304" s="27">
        <f>단가대비표!V48</f>
        <v>235799</v>
      </c>
      <c r="H304" s="27">
        <f>ROUNDDOWN(D304*G304,2)</f>
        <v>4715.9799999999996</v>
      </c>
      <c r="I304" s="27">
        <f>단가대비표!AE48</f>
        <v>0</v>
      </c>
      <c r="J304" s="27">
        <f>ROUNDDOWN(D304*I304,2)</f>
        <v>0</v>
      </c>
      <c r="K304" s="27">
        <f t="shared" si="41"/>
        <v>235799</v>
      </c>
      <c r="L304" s="27">
        <f t="shared" si="41"/>
        <v>4715.9799999999996</v>
      </c>
      <c r="M304" s="10" t="s">
        <v>968</v>
      </c>
      <c r="N304" s="25" t="s">
        <v>21</v>
      </c>
      <c r="O304" s="7" t="s">
        <v>271</v>
      </c>
      <c r="P304" s="7" t="s">
        <v>677</v>
      </c>
      <c r="Q304" s="7" t="s">
        <v>677</v>
      </c>
      <c r="R304" s="7" t="s">
        <v>184</v>
      </c>
      <c r="S304" s="28">
        <v>30</v>
      </c>
      <c r="T304" s="7" t="s">
        <v>677</v>
      </c>
      <c r="U304" s="28">
        <v>0</v>
      </c>
      <c r="V304" s="28">
        <v>1</v>
      </c>
      <c r="W304" s="28">
        <v>0</v>
      </c>
      <c r="X304" s="28">
        <v>0</v>
      </c>
      <c r="Y304" s="28">
        <v>0</v>
      </c>
      <c r="Z304" s="28">
        <v>0</v>
      </c>
      <c r="AA304" s="28">
        <v>0</v>
      </c>
      <c r="AB304" s="28">
        <v>0</v>
      </c>
    </row>
    <row r="305" spans="1:28" ht="30" customHeight="1" x14ac:dyDescent="0.3">
      <c r="A305" s="10" t="s">
        <v>977</v>
      </c>
      <c r="B305" s="10" t="s">
        <v>220</v>
      </c>
      <c r="C305" s="10" t="s">
        <v>526</v>
      </c>
      <c r="D305" s="22">
        <v>4.0000000000000001E-3</v>
      </c>
      <c r="E305" s="27">
        <f>단가대비표!U37</f>
        <v>0</v>
      </c>
      <c r="F305" s="27">
        <f>ROUNDDOWN(D305*E305,2)</f>
        <v>0</v>
      </c>
      <c r="G305" s="27">
        <f>단가대비표!V37</f>
        <v>153671</v>
      </c>
      <c r="H305" s="27">
        <f>ROUNDDOWN(D305*G305,2)</f>
        <v>614.67999999999995</v>
      </c>
      <c r="I305" s="27">
        <f>단가대비표!AE37</f>
        <v>0</v>
      </c>
      <c r="J305" s="27">
        <f>ROUNDDOWN(D305*I305,2)</f>
        <v>0</v>
      </c>
      <c r="K305" s="27">
        <f t="shared" si="41"/>
        <v>153671</v>
      </c>
      <c r="L305" s="27">
        <f t="shared" si="41"/>
        <v>614.67999999999995</v>
      </c>
      <c r="M305" s="10" t="s">
        <v>122</v>
      </c>
      <c r="N305" s="25" t="s">
        <v>21</v>
      </c>
      <c r="O305" s="7" t="s">
        <v>43</v>
      </c>
      <c r="P305" s="7" t="s">
        <v>677</v>
      </c>
      <c r="Q305" s="7" t="s">
        <v>677</v>
      </c>
      <c r="R305" s="7" t="s">
        <v>184</v>
      </c>
      <c r="S305" s="28">
        <v>40</v>
      </c>
      <c r="T305" s="7" t="s">
        <v>677</v>
      </c>
      <c r="U305" s="28">
        <v>0</v>
      </c>
      <c r="V305" s="28">
        <v>1</v>
      </c>
      <c r="W305" s="28">
        <v>0</v>
      </c>
      <c r="X305" s="28">
        <v>0</v>
      </c>
      <c r="Y305" s="28">
        <v>0</v>
      </c>
      <c r="Z305" s="28">
        <v>0</v>
      </c>
      <c r="AA305" s="28">
        <v>0</v>
      </c>
      <c r="AB305" s="28">
        <v>0</v>
      </c>
    </row>
    <row r="306" spans="1:28" ht="30" customHeight="1" x14ac:dyDescent="0.3">
      <c r="A306" s="10" t="s">
        <v>861</v>
      </c>
      <c r="B306" s="10" t="s">
        <v>527</v>
      </c>
      <c r="C306" s="10" t="s">
        <v>104</v>
      </c>
      <c r="D306" s="22">
        <v>1</v>
      </c>
      <c r="E306" s="27">
        <f>ROUNDDOWN(SUMIF(V302:V306, RIGHTB(O306, 1), H302:H306)*U306, 2)</f>
        <v>213.22</v>
      </c>
      <c r="F306" s="27">
        <f>ROUNDDOWN(D306*E306,2)</f>
        <v>213.22</v>
      </c>
      <c r="G306" s="27">
        <v>0</v>
      </c>
      <c r="H306" s="27">
        <f>ROUNDDOWN(D306*G306,2)</f>
        <v>0</v>
      </c>
      <c r="I306" s="27">
        <v>0</v>
      </c>
      <c r="J306" s="27">
        <f>ROUNDDOWN(D306*I306,2)</f>
        <v>0</v>
      </c>
      <c r="K306" s="27">
        <f t="shared" si="41"/>
        <v>213.22</v>
      </c>
      <c r="L306" s="27">
        <f t="shared" si="41"/>
        <v>213.22</v>
      </c>
      <c r="M306" s="10"/>
      <c r="N306" s="25" t="s">
        <v>21</v>
      </c>
      <c r="O306" s="7" t="s">
        <v>459</v>
      </c>
      <c r="P306" s="7" t="s">
        <v>677</v>
      </c>
      <c r="Q306" s="7" t="s">
        <v>677</v>
      </c>
      <c r="R306" s="7" t="s">
        <v>184</v>
      </c>
      <c r="S306" s="28">
        <v>50</v>
      </c>
      <c r="T306" s="7" t="s">
        <v>661</v>
      </c>
      <c r="U306" s="28">
        <v>0.02</v>
      </c>
      <c r="V306" s="28">
        <v>0</v>
      </c>
      <c r="W306" s="28">
        <v>0</v>
      </c>
      <c r="X306" s="28">
        <v>0</v>
      </c>
      <c r="Y306" s="28">
        <v>0</v>
      </c>
      <c r="Z306" s="28">
        <v>0</v>
      </c>
      <c r="AA306" s="28">
        <v>0</v>
      </c>
      <c r="AB306" s="28">
        <v>0</v>
      </c>
    </row>
    <row r="307" spans="1:28" ht="30" customHeight="1" x14ac:dyDescent="0.3">
      <c r="A307" s="10" t="s">
        <v>489</v>
      </c>
      <c r="B307" s="10" t="s">
        <v>677</v>
      </c>
      <c r="C307" s="10" t="s">
        <v>677</v>
      </c>
      <c r="D307" s="10" t="s">
        <v>677</v>
      </c>
      <c r="E307" s="27">
        <v>0</v>
      </c>
      <c r="F307" s="27">
        <f>ROUNDDOWN(SUMIF(R302:R306, " ", F302:F306),0)</f>
        <v>213</v>
      </c>
      <c r="G307" s="27">
        <v>0</v>
      </c>
      <c r="H307" s="27">
        <f>ROUNDDOWN(SUMIF(R302:R306, " ", H302:H306),0)</f>
        <v>10661</v>
      </c>
      <c r="I307" s="27">
        <v>0</v>
      </c>
      <c r="J307" s="27">
        <f>ROUNDDOWN(SUMIF(R302:R306, " ", J302:J306),0)</f>
        <v>0</v>
      </c>
      <c r="K307" s="30" t="s">
        <v>677</v>
      </c>
      <c r="L307" s="27">
        <f>F307+H307+J307</f>
        <v>10874</v>
      </c>
      <c r="M307" s="10"/>
      <c r="N307" s="9" t="s">
        <v>606</v>
      </c>
      <c r="O307" s="26" t="s">
        <v>606</v>
      </c>
    </row>
    <row r="308" spans="1:28" ht="30" customHeight="1" x14ac:dyDescent="0.3">
      <c r="A308" s="10" t="s">
        <v>677</v>
      </c>
      <c r="B308" s="10" t="s">
        <v>677</v>
      </c>
      <c r="C308" s="10" t="s">
        <v>677</v>
      </c>
      <c r="D308" s="10" t="s">
        <v>677</v>
      </c>
      <c r="E308" s="10" t="s">
        <v>677</v>
      </c>
      <c r="F308" s="10" t="s">
        <v>677</v>
      </c>
      <c r="G308" s="10" t="s">
        <v>677</v>
      </c>
      <c r="H308" s="10" t="s">
        <v>677</v>
      </c>
      <c r="I308" s="10" t="s">
        <v>677</v>
      </c>
      <c r="J308" s="10" t="s">
        <v>677</v>
      </c>
      <c r="K308" s="10" t="s">
        <v>677</v>
      </c>
      <c r="L308" s="10" t="s">
        <v>677</v>
      </c>
      <c r="M308" s="10" t="s">
        <v>677</v>
      </c>
    </row>
    <row r="309" spans="1:28" ht="30" customHeight="1" x14ac:dyDescent="0.3">
      <c r="A309" s="96" t="s">
        <v>744</v>
      </c>
      <c r="B309" s="97"/>
      <c r="C309" s="97"/>
      <c r="D309" s="97"/>
      <c r="E309" s="97"/>
      <c r="F309" s="97"/>
      <c r="G309" s="97"/>
      <c r="H309" s="97"/>
      <c r="I309" s="97"/>
      <c r="J309" s="97"/>
      <c r="K309" s="97"/>
      <c r="L309" s="97"/>
      <c r="M309" s="98"/>
      <c r="N309" s="25" t="s">
        <v>207</v>
      </c>
    </row>
    <row r="310" spans="1:28" ht="30" customHeight="1" x14ac:dyDescent="0.3">
      <c r="A310" s="10" t="s">
        <v>40</v>
      </c>
      <c r="B310" s="10" t="s">
        <v>52</v>
      </c>
      <c r="C310" s="10" t="s">
        <v>240</v>
      </c>
      <c r="D310" s="22">
        <v>0.16600000000000001</v>
      </c>
      <c r="E310" s="27">
        <f>단가대비표!U28</f>
        <v>5493</v>
      </c>
      <c r="F310" s="27">
        <f>ROUNDDOWN(D310*E310,2)</f>
        <v>911.83</v>
      </c>
      <c r="G310" s="27">
        <f>단가대비표!V28</f>
        <v>0</v>
      </c>
      <c r="H310" s="27">
        <f>ROUNDDOWN(D310*G310,2)</f>
        <v>0</v>
      </c>
      <c r="I310" s="27">
        <f>단가대비표!AE28</f>
        <v>0</v>
      </c>
      <c r="J310" s="27">
        <f>ROUNDDOWN(D310*I310,2)</f>
        <v>0</v>
      </c>
      <c r="K310" s="27">
        <f t="shared" ref="K310:L312" si="42">ROUNDDOWN(E310+G310+I310,2)</f>
        <v>5493</v>
      </c>
      <c r="L310" s="27">
        <f t="shared" si="42"/>
        <v>911.83</v>
      </c>
      <c r="M310" s="10" t="s">
        <v>1034</v>
      </c>
      <c r="N310" s="25" t="s">
        <v>207</v>
      </c>
      <c r="O310" s="7" t="s">
        <v>950</v>
      </c>
      <c r="P310" s="7" t="s">
        <v>677</v>
      </c>
      <c r="Q310" s="7" t="s">
        <v>677</v>
      </c>
      <c r="R310" s="7" t="s">
        <v>184</v>
      </c>
      <c r="S310" s="28">
        <v>10</v>
      </c>
      <c r="T310" s="7" t="s">
        <v>677</v>
      </c>
      <c r="U310" s="28">
        <v>0</v>
      </c>
      <c r="V310" s="28">
        <v>1</v>
      </c>
      <c r="W310" s="28">
        <v>0</v>
      </c>
      <c r="X310" s="28">
        <v>0</v>
      </c>
      <c r="Y310" s="28">
        <v>0</v>
      </c>
      <c r="Z310" s="28">
        <v>0</v>
      </c>
      <c r="AA310" s="28">
        <v>0</v>
      </c>
      <c r="AB310" s="28">
        <v>0</v>
      </c>
    </row>
    <row r="311" spans="1:28" ht="30" customHeight="1" x14ac:dyDescent="0.3">
      <c r="A311" s="10" t="s">
        <v>20</v>
      </c>
      <c r="B311" s="10" t="s">
        <v>841</v>
      </c>
      <c r="C311" s="10" t="s">
        <v>240</v>
      </c>
      <c r="D311" s="22">
        <v>8.0000000000000002E-3</v>
      </c>
      <c r="E311" s="27">
        <f>단가대비표!U31</f>
        <v>3494.44</v>
      </c>
      <c r="F311" s="27">
        <f>ROUNDDOWN(D311*E311,2)</f>
        <v>27.95</v>
      </c>
      <c r="G311" s="27">
        <f>단가대비표!V31</f>
        <v>0</v>
      </c>
      <c r="H311" s="27">
        <f>ROUNDDOWN(D311*G311,2)</f>
        <v>0</v>
      </c>
      <c r="I311" s="27">
        <f>단가대비표!AE31</f>
        <v>0</v>
      </c>
      <c r="J311" s="27">
        <f>ROUNDDOWN(D311*I311,2)</f>
        <v>0</v>
      </c>
      <c r="K311" s="27">
        <f t="shared" si="42"/>
        <v>3494.44</v>
      </c>
      <c r="L311" s="27">
        <f t="shared" si="42"/>
        <v>27.95</v>
      </c>
      <c r="M311" s="10" t="s">
        <v>81</v>
      </c>
      <c r="N311" s="25" t="s">
        <v>207</v>
      </c>
      <c r="O311" s="7" t="s">
        <v>142</v>
      </c>
      <c r="P311" s="7" t="s">
        <v>677</v>
      </c>
      <c r="Q311" s="7" t="s">
        <v>677</v>
      </c>
      <c r="R311" s="7" t="s">
        <v>184</v>
      </c>
      <c r="S311" s="28">
        <v>20</v>
      </c>
      <c r="T311" s="7" t="s">
        <v>677</v>
      </c>
      <c r="U311" s="28">
        <v>0</v>
      </c>
      <c r="V311" s="28">
        <v>1</v>
      </c>
      <c r="W311" s="28">
        <v>0</v>
      </c>
      <c r="X311" s="28">
        <v>0</v>
      </c>
      <c r="Y311" s="28">
        <v>0</v>
      </c>
      <c r="Z311" s="28">
        <v>0</v>
      </c>
      <c r="AA311" s="28">
        <v>0</v>
      </c>
      <c r="AB311" s="28">
        <v>0</v>
      </c>
    </row>
    <row r="312" spans="1:28" ht="30" customHeight="1" x14ac:dyDescent="0.3">
      <c r="A312" s="10" t="s">
        <v>1176</v>
      </c>
      <c r="B312" s="10" t="s">
        <v>657</v>
      </c>
      <c r="C312" s="10" t="s">
        <v>104</v>
      </c>
      <c r="D312" s="22">
        <v>1</v>
      </c>
      <c r="E312" s="27">
        <f>ROUNDDOWN(SUMIF(V310:V312, RIGHTB(O312, 1), F310:F312)*U312, 2)</f>
        <v>37.590000000000003</v>
      </c>
      <c r="F312" s="27">
        <f>ROUNDDOWN(D312*E312,2)</f>
        <v>37.590000000000003</v>
      </c>
      <c r="G312" s="27">
        <v>0</v>
      </c>
      <c r="H312" s="27">
        <f>ROUNDDOWN(D312*G312,2)</f>
        <v>0</v>
      </c>
      <c r="I312" s="27">
        <v>0</v>
      </c>
      <c r="J312" s="27">
        <f>ROUNDDOWN(D312*I312,2)</f>
        <v>0</v>
      </c>
      <c r="K312" s="27">
        <f t="shared" si="42"/>
        <v>37.590000000000003</v>
      </c>
      <c r="L312" s="27">
        <f t="shared" si="42"/>
        <v>37.590000000000003</v>
      </c>
      <c r="M312" s="10" t="s">
        <v>677</v>
      </c>
      <c r="N312" s="25" t="s">
        <v>207</v>
      </c>
      <c r="O312" s="7" t="s">
        <v>459</v>
      </c>
      <c r="P312" s="7" t="s">
        <v>677</v>
      </c>
      <c r="Q312" s="7" t="s">
        <v>677</v>
      </c>
      <c r="R312" s="7" t="s">
        <v>184</v>
      </c>
      <c r="S312" s="28">
        <v>30</v>
      </c>
      <c r="T312" s="7" t="s">
        <v>548</v>
      </c>
      <c r="U312" s="28">
        <v>0.04</v>
      </c>
      <c r="V312" s="28">
        <v>0</v>
      </c>
      <c r="W312" s="28">
        <v>0</v>
      </c>
      <c r="X312" s="28">
        <v>0</v>
      </c>
      <c r="Y312" s="28">
        <v>0</v>
      </c>
      <c r="Z312" s="28">
        <v>0</v>
      </c>
      <c r="AA312" s="28">
        <v>0</v>
      </c>
      <c r="AB312" s="28">
        <v>0</v>
      </c>
    </row>
    <row r="313" spans="1:28" ht="30" customHeight="1" x14ac:dyDescent="0.3">
      <c r="A313" s="10" t="s">
        <v>489</v>
      </c>
      <c r="B313" s="10" t="s">
        <v>677</v>
      </c>
      <c r="C313" s="10" t="s">
        <v>677</v>
      </c>
      <c r="D313" s="10" t="s">
        <v>677</v>
      </c>
      <c r="E313" s="27">
        <v>0</v>
      </c>
      <c r="F313" s="27">
        <f>ROUNDDOWN(SUMIF(R310:R312, " ", F310:F312),0)</f>
        <v>977</v>
      </c>
      <c r="G313" s="27">
        <v>0</v>
      </c>
      <c r="H313" s="27">
        <f>ROUNDDOWN(SUMIF(R310:R312, " ", H310:H312),0)</f>
        <v>0</v>
      </c>
      <c r="I313" s="27">
        <v>0</v>
      </c>
      <c r="J313" s="27">
        <f>ROUNDDOWN(SUMIF(R310:R312, " ", J310:J312),0)</f>
        <v>0</v>
      </c>
      <c r="K313" s="30" t="s">
        <v>677</v>
      </c>
      <c r="L313" s="27">
        <f>F313+H313+J313</f>
        <v>977</v>
      </c>
      <c r="M313" s="10"/>
      <c r="N313" s="9" t="s">
        <v>606</v>
      </c>
      <c r="O313" s="26" t="s">
        <v>606</v>
      </c>
    </row>
    <row r="314" spans="1:28" ht="30" customHeight="1" x14ac:dyDescent="0.3">
      <c r="A314" s="10" t="s">
        <v>677</v>
      </c>
      <c r="B314" s="10" t="s">
        <v>677</v>
      </c>
      <c r="C314" s="10" t="s">
        <v>677</v>
      </c>
      <c r="D314" s="10" t="s">
        <v>677</v>
      </c>
      <c r="E314" s="10" t="s">
        <v>677</v>
      </c>
      <c r="F314" s="10" t="s">
        <v>677</v>
      </c>
      <c r="G314" s="10" t="s">
        <v>677</v>
      </c>
      <c r="H314" s="10" t="s">
        <v>677</v>
      </c>
      <c r="I314" s="10" t="s">
        <v>677</v>
      </c>
      <c r="J314" s="10" t="s">
        <v>677</v>
      </c>
      <c r="K314" s="10" t="s">
        <v>677</v>
      </c>
      <c r="L314" s="10" t="s">
        <v>677</v>
      </c>
      <c r="M314" s="10" t="s">
        <v>677</v>
      </c>
    </row>
    <row r="315" spans="1:28" ht="30" customHeight="1" x14ac:dyDescent="0.3">
      <c r="A315" s="96" t="s">
        <v>1173</v>
      </c>
      <c r="B315" s="97"/>
      <c r="C315" s="97"/>
      <c r="D315" s="97"/>
      <c r="E315" s="97"/>
      <c r="F315" s="97"/>
      <c r="G315" s="97"/>
      <c r="H315" s="97"/>
      <c r="I315" s="97"/>
      <c r="J315" s="97"/>
      <c r="K315" s="97"/>
      <c r="L315" s="97"/>
      <c r="M315" s="98"/>
      <c r="N315" s="25" t="s">
        <v>252</v>
      </c>
    </row>
    <row r="316" spans="1:28" ht="30" customHeight="1" x14ac:dyDescent="0.3">
      <c r="A316" s="10" t="s">
        <v>1174</v>
      </c>
      <c r="B316" s="10" t="s">
        <v>220</v>
      </c>
      <c r="C316" s="10" t="s">
        <v>526</v>
      </c>
      <c r="D316" s="22">
        <v>6.2850000000000001</v>
      </c>
      <c r="E316" s="27">
        <f>단가대비표!U48</f>
        <v>0</v>
      </c>
      <c r="F316" s="27">
        <f t="shared" ref="F316:F317" si="43">ROUNDDOWN(D316*E316,2)</f>
        <v>0</v>
      </c>
      <c r="G316" s="27">
        <f>단가대비표!V47</f>
        <v>242631</v>
      </c>
      <c r="H316" s="27">
        <f t="shared" ref="H316:H317" si="44">ROUNDDOWN(D316*G316,2)</f>
        <v>1524935.83</v>
      </c>
      <c r="I316" s="27">
        <f>단가대비표!AE48</f>
        <v>0</v>
      </c>
      <c r="J316" s="27">
        <f t="shared" ref="J316:J317" si="45">ROUNDDOWN(D316*I316,2)</f>
        <v>0</v>
      </c>
      <c r="K316" s="27">
        <f t="shared" ref="K316:K317" si="46">ROUNDDOWN(E316+G316+I316,2)</f>
        <v>242631</v>
      </c>
      <c r="L316" s="27">
        <f t="shared" ref="L316:L317" si="47">ROUNDDOWN(F316+H316+J316,2)</f>
        <v>1524935.83</v>
      </c>
      <c r="M316" s="10" t="s">
        <v>1175</v>
      </c>
      <c r="N316" s="25" t="s">
        <v>252</v>
      </c>
      <c r="O316" s="7" t="s">
        <v>271</v>
      </c>
      <c r="P316" s="7" t="s">
        <v>677</v>
      </c>
      <c r="Q316" s="7" t="s">
        <v>677</v>
      </c>
      <c r="R316" s="7" t="s">
        <v>184</v>
      </c>
      <c r="S316" s="28">
        <v>40</v>
      </c>
      <c r="T316" s="7" t="s">
        <v>546</v>
      </c>
      <c r="U316" s="28">
        <v>0</v>
      </c>
      <c r="V316" s="28">
        <v>0</v>
      </c>
      <c r="W316" s="28">
        <v>2</v>
      </c>
      <c r="X316" s="28">
        <v>0</v>
      </c>
      <c r="Y316" s="28">
        <v>0</v>
      </c>
      <c r="Z316" s="28">
        <v>0</v>
      </c>
      <c r="AA316" s="28">
        <v>0</v>
      </c>
      <c r="AB316" s="28">
        <v>0</v>
      </c>
    </row>
    <row r="317" spans="1:28" ht="30" customHeight="1" x14ac:dyDescent="0.3">
      <c r="A317" s="10" t="s">
        <v>977</v>
      </c>
      <c r="B317" s="10" t="s">
        <v>220</v>
      </c>
      <c r="C317" s="10" t="s">
        <v>526</v>
      </c>
      <c r="D317" s="22">
        <v>0.68200000000000005</v>
      </c>
      <c r="E317" s="27">
        <f>단가대비표!U37</f>
        <v>0</v>
      </c>
      <c r="F317" s="27">
        <f t="shared" si="43"/>
        <v>0</v>
      </c>
      <c r="G317" s="27">
        <f>단가대비표!V37</f>
        <v>153671</v>
      </c>
      <c r="H317" s="27">
        <f t="shared" si="44"/>
        <v>104803.62</v>
      </c>
      <c r="I317" s="27">
        <f>단가대비표!AE37</f>
        <v>0</v>
      </c>
      <c r="J317" s="27">
        <f t="shared" si="45"/>
        <v>0</v>
      </c>
      <c r="K317" s="27">
        <f t="shared" si="46"/>
        <v>153671</v>
      </c>
      <c r="L317" s="27">
        <f t="shared" si="47"/>
        <v>104803.62</v>
      </c>
      <c r="M317" s="10" t="s">
        <v>122</v>
      </c>
      <c r="N317" s="25" t="s">
        <v>252</v>
      </c>
      <c r="O317" s="7" t="s">
        <v>43</v>
      </c>
      <c r="P317" s="7" t="s">
        <v>677</v>
      </c>
      <c r="Q317" s="7" t="s">
        <v>677</v>
      </c>
      <c r="R317" s="7" t="s">
        <v>184</v>
      </c>
      <c r="S317" s="28">
        <v>50</v>
      </c>
      <c r="T317" s="7" t="s">
        <v>777</v>
      </c>
      <c r="U317" s="28">
        <v>0</v>
      </c>
      <c r="V317" s="28">
        <v>0</v>
      </c>
      <c r="W317" s="28">
        <v>2</v>
      </c>
      <c r="X317" s="28">
        <v>0</v>
      </c>
      <c r="Y317" s="28">
        <v>0</v>
      </c>
      <c r="Z317" s="28">
        <v>0</v>
      </c>
      <c r="AA317" s="28">
        <v>0</v>
      </c>
      <c r="AB317" s="28">
        <v>0</v>
      </c>
    </row>
    <row r="318" spans="1:28" ht="30" customHeight="1" x14ac:dyDescent="0.3">
      <c r="A318" s="10" t="s">
        <v>489</v>
      </c>
      <c r="B318" s="10" t="s">
        <v>677</v>
      </c>
      <c r="C318" s="10" t="s">
        <v>677</v>
      </c>
      <c r="D318" s="10" t="s">
        <v>677</v>
      </c>
      <c r="E318" s="27">
        <v>0</v>
      </c>
      <c r="F318" s="27">
        <f>ROUNDDOWN(SUMIF(R316:R317, " ", F316:F317),0)</f>
        <v>0</v>
      </c>
      <c r="G318" s="27">
        <v>0</v>
      </c>
      <c r="H318" s="27">
        <f>ROUNDDOWN(SUMIF(R316:R317, " ", H316:H317),0)</f>
        <v>1629739</v>
      </c>
      <c r="I318" s="27">
        <v>0</v>
      </c>
      <c r="J318" s="27">
        <f>ROUNDDOWN(SUMIF(R316:R317, " ", J316:J317),0)</f>
        <v>0</v>
      </c>
      <c r="K318" s="30" t="s">
        <v>677</v>
      </c>
      <c r="L318" s="27">
        <f>F318+H318+J318</f>
        <v>1629739</v>
      </c>
      <c r="M318" s="10"/>
      <c r="N318" s="9" t="s">
        <v>606</v>
      </c>
      <c r="O318" s="26" t="s">
        <v>606</v>
      </c>
    </row>
    <row r="319" spans="1:28" ht="30" customHeight="1" x14ac:dyDescent="0.3">
      <c r="A319" s="10" t="s">
        <v>677</v>
      </c>
      <c r="B319" s="10" t="s">
        <v>677</v>
      </c>
      <c r="C319" s="10" t="s">
        <v>677</v>
      </c>
      <c r="D319" s="10" t="s">
        <v>677</v>
      </c>
      <c r="E319" s="10" t="s">
        <v>677</v>
      </c>
      <c r="F319" s="10" t="s">
        <v>677</v>
      </c>
      <c r="G319" s="10" t="s">
        <v>677</v>
      </c>
      <c r="H319" s="10" t="s">
        <v>677</v>
      </c>
      <c r="I319" s="10" t="s">
        <v>677</v>
      </c>
      <c r="J319" s="10" t="s">
        <v>677</v>
      </c>
      <c r="K319" s="10" t="s">
        <v>677</v>
      </c>
      <c r="L319" s="10" t="s">
        <v>677</v>
      </c>
      <c r="M319" s="10" t="s">
        <v>677</v>
      </c>
    </row>
    <row r="320" spans="1:28" ht="30" customHeight="1" x14ac:dyDescent="0.3">
      <c r="A320" s="96" t="s">
        <v>1177</v>
      </c>
      <c r="B320" s="97"/>
      <c r="C320" s="97"/>
      <c r="D320" s="97"/>
      <c r="E320" s="97"/>
      <c r="F320" s="97"/>
      <c r="G320" s="97"/>
      <c r="H320" s="97"/>
      <c r="I320" s="97"/>
      <c r="J320" s="97"/>
      <c r="K320" s="97"/>
      <c r="L320" s="97"/>
      <c r="M320" s="98"/>
      <c r="N320" s="25" t="s">
        <v>161</v>
      </c>
    </row>
    <row r="321" spans="1:28" ht="30" customHeight="1" x14ac:dyDescent="0.3">
      <c r="A321" s="10" t="s">
        <v>775</v>
      </c>
      <c r="B321" s="10" t="s">
        <v>220</v>
      </c>
      <c r="C321" s="10" t="s">
        <v>526</v>
      </c>
      <c r="D321" s="22">
        <v>6.4000000000000001E-2</v>
      </c>
      <c r="E321" s="27">
        <f>단가대비표!U51</f>
        <v>0</v>
      </c>
      <c r="F321" s="27">
        <f>ROUNDDOWN(D321*E321,2)</f>
        <v>0</v>
      </c>
      <c r="G321" s="27">
        <f>단가대비표!V51</f>
        <v>208255</v>
      </c>
      <c r="H321" s="27">
        <f>ROUNDDOWN(D321*G321,2)</f>
        <v>13328.32</v>
      </c>
      <c r="I321" s="27">
        <f>단가대비표!AE51</f>
        <v>0</v>
      </c>
      <c r="J321" s="27">
        <f>ROUNDDOWN(D321*I321,2)</f>
        <v>0</v>
      </c>
      <c r="K321" s="27">
        <f t="shared" ref="K321:L323" si="48">ROUNDDOWN(E321+G321+I321,2)</f>
        <v>208255</v>
      </c>
      <c r="L321" s="27">
        <f t="shared" si="48"/>
        <v>13328.32</v>
      </c>
      <c r="M321" s="10" t="s">
        <v>180</v>
      </c>
      <c r="N321" s="25" t="s">
        <v>161</v>
      </c>
      <c r="O321" s="7" t="s">
        <v>9</v>
      </c>
      <c r="P321" s="7" t="s">
        <v>677</v>
      </c>
      <c r="Q321" s="7" t="s">
        <v>677</v>
      </c>
      <c r="R321" s="7" t="s">
        <v>184</v>
      </c>
      <c r="S321" s="28">
        <v>10</v>
      </c>
      <c r="T321" s="7" t="s">
        <v>998</v>
      </c>
      <c r="U321" s="28">
        <v>0</v>
      </c>
      <c r="V321" s="28">
        <v>1</v>
      </c>
      <c r="W321" s="28">
        <v>0</v>
      </c>
      <c r="X321" s="28">
        <v>0</v>
      </c>
      <c r="Y321" s="28">
        <v>0</v>
      </c>
      <c r="Z321" s="28">
        <v>0</v>
      </c>
      <c r="AA321" s="28">
        <v>0</v>
      </c>
      <c r="AB321" s="28">
        <v>0</v>
      </c>
    </row>
    <row r="322" spans="1:28" ht="30" customHeight="1" x14ac:dyDescent="0.3">
      <c r="A322" s="10" t="s">
        <v>977</v>
      </c>
      <c r="B322" s="10" t="s">
        <v>220</v>
      </c>
      <c r="C322" s="10" t="s">
        <v>526</v>
      </c>
      <c r="D322" s="22">
        <v>3.4000000000000002E-2</v>
      </c>
      <c r="E322" s="27">
        <f>단가대비표!U37</f>
        <v>0</v>
      </c>
      <c r="F322" s="27">
        <f>ROUNDDOWN(D322*E322,2)</f>
        <v>0</v>
      </c>
      <c r="G322" s="27">
        <f>단가대비표!V37</f>
        <v>153671</v>
      </c>
      <c r="H322" s="27">
        <f>ROUNDDOWN(D322*G322,2)</f>
        <v>5224.8100000000004</v>
      </c>
      <c r="I322" s="27">
        <f>단가대비표!AE37</f>
        <v>0</v>
      </c>
      <c r="J322" s="27">
        <f>ROUNDDOWN(D322*I322,2)</f>
        <v>0</v>
      </c>
      <c r="K322" s="27">
        <f t="shared" si="48"/>
        <v>153671</v>
      </c>
      <c r="L322" s="27">
        <f t="shared" si="48"/>
        <v>5224.8100000000004</v>
      </c>
      <c r="M322" s="10" t="s">
        <v>122</v>
      </c>
      <c r="N322" s="25" t="s">
        <v>161</v>
      </c>
      <c r="O322" s="7" t="s">
        <v>43</v>
      </c>
      <c r="P322" s="7" t="s">
        <v>677</v>
      </c>
      <c r="Q322" s="7" t="s">
        <v>677</v>
      </c>
      <c r="R322" s="7" t="s">
        <v>184</v>
      </c>
      <c r="S322" s="28">
        <v>20</v>
      </c>
      <c r="T322" s="7" t="s">
        <v>589</v>
      </c>
      <c r="U322" s="28">
        <v>0</v>
      </c>
      <c r="V322" s="28">
        <v>1</v>
      </c>
      <c r="W322" s="28">
        <v>0</v>
      </c>
      <c r="X322" s="28">
        <v>0</v>
      </c>
      <c r="Y322" s="28">
        <v>0</v>
      </c>
      <c r="Z322" s="28">
        <v>0</v>
      </c>
      <c r="AA322" s="28">
        <v>0</v>
      </c>
      <c r="AB322" s="28">
        <v>0</v>
      </c>
    </row>
    <row r="323" spans="1:28" ht="30" customHeight="1" x14ac:dyDescent="0.3">
      <c r="A323" s="10" t="s">
        <v>941</v>
      </c>
      <c r="B323" s="10" t="s">
        <v>80</v>
      </c>
      <c r="C323" s="10" t="s">
        <v>104</v>
      </c>
      <c r="D323" s="22">
        <v>1</v>
      </c>
      <c r="E323" s="27">
        <f>ROUNDDOWN(SUMIF(V321:V323, RIGHTB(O323, 1), H321:H323)*U323, 2)</f>
        <v>371.06</v>
      </c>
      <c r="F323" s="27">
        <f>ROUNDDOWN(D323*E323,2)</f>
        <v>371.06</v>
      </c>
      <c r="G323" s="27">
        <v>0</v>
      </c>
      <c r="H323" s="27">
        <f>ROUNDDOWN(D323*G323,2)</f>
        <v>0</v>
      </c>
      <c r="I323" s="27">
        <v>0</v>
      </c>
      <c r="J323" s="27">
        <f>ROUNDDOWN(D323*I323,2)</f>
        <v>0</v>
      </c>
      <c r="K323" s="27">
        <f t="shared" si="48"/>
        <v>371.06</v>
      </c>
      <c r="L323" s="27">
        <f t="shared" si="48"/>
        <v>371.06</v>
      </c>
      <c r="M323" s="10" t="s">
        <v>677</v>
      </c>
      <c r="N323" s="25" t="s">
        <v>161</v>
      </c>
      <c r="O323" s="7" t="s">
        <v>459</v>
      </c>
      <c r="P323" s="7" t="s">
        <v>677</v>
      </c>
      <c r="Q323" s="7" t="s">
        <v>677</v>
      </c>
      <c r="R323" s="7" t="s">
        <v>184</v>
      </c>
      <c r="S323" s="28">
        <v>30</v>
      </c>
      <c r="T323" s="7" t="s">
        <v>227</v>
      </c>
      <c r="U323" s="28">
        <v>0.02</v>
      </c>
      <c r="V323" s="28">
        <v>0</v>
      </c>
      <c r="W323" s="28">
        <v>0</v>
      </c>
      <c r="X323" s="28">
        <v>0</v>
      </c>
      <c r="Y323" s="28">
        <v>0</v>
      </c>
      <c r="Z323" s="28">
        <v>0</v>
      </c>
      <c r="AA323" s="28">
        <v>0</v>
      </c>
      <c r="AB323" s="28">
        <v>0</v>
      </c>
    </row>
    <row r="324" spans="1:28" ht="30" customHeight="1" x14ac:dyDescent="0.3">
      <c r="A324" s="10" t="s">
        <v>489</v>
      </c>
      <c r="B324" s="10" t="s">
        <v>677</v>
      </c>
      <c r="C324" s="10" t="s">
        <v>677</v>
      </c>
      <c r="D324" s="10" t="s">
        <v>677</v>
      </c>
      <c r="E324" s="27">
        <v>0</v>
      </c>
      <c r="F324" s="27">
        <f>ROUNDDOWN(SUMIF(R321:R323, " ", F321:F323),0)</f>
        <v>371</v>
      </c>
      <c r="G324" s="27">
        <v>0</v>
      </c>
      <c r="H324" s="27">
        <f>ROUNDDOWN(SUMIF(R321:R323, " ", H321:H323),0)</f>
        <v>18553</v>
      </c>
      <c r="I324" s="27">
        <v>0</v>
      </c>
      <c r="J324" s="27">
        <f>ROUNDDOWN(SUMIF(R321:R323, " ", J321:J323),0)</f>
        <v>0</v>
      </c>
      <c r="K324" s="30" t="s">
        <v>677</v>
      </c>
      <c r="L324" s="27">
        <f>F324+H324+J324</f>
        <v>18924</v>
      </c>
      <c r="M324" s="10"/>
      <c r="N324" s="9" t="s">
        <v>606</v>
      </c>
      <c r="O324" s="26" t="s">
        <v>606</v>
      </c>
    </row>
    <row r="325" spans="1:28" ht="30" customHeight="1" x14ac:dyDescent="0.3">
      <c r="A325" s="7"/>
      <c r="B325" s="7"/>
      <c r="C325" s="7"/>
      <c r="D325" s="7"/>
      <c r="E325" s="32"/>
      <c r="F325" s="32"/>
      <c r="G325" s="32"/>
      <c r="H325" s="32"/>
      <c r="I325" s="32"/>
      <c r="J325" s="32"/>
      <c r="K325" s="26"/>
      <c r="L325" s="32"/>
      <c r="M325" s="7"/>
      <c r="N325" s="26"/>
      <c r="O325" s="26"/>
    </row>
    <row r="326" spans="1:28" ht="30" customHeight="1" x14ac:dyDescent="0.3">
      <c r="A326" s="96" t="s">
        <v>1079</v>
      </c>
      <c r="B326" s="97"/>
      <c r="C326" s="97"/>
      <c r="D326" s="97"/>
      <c r="E326" s="97"/>
      <c r="F326" s="97"/>
      <c r="G326" s="97"/>
      <c r="H326" s="97"/>
      <c r="I326" s="97"/>
      <c r="J326" s="97"/>
      <c r="K326" s="97"/>
      <c r="L326" s="97"/>
      <c r="M326" s="98"/>
      <c r="N326" s="25" t="s">
        <v>1078</v>
      </c>
    </row>
    <row r="327" spans="1:28" ht="30" customHeight="1" x14ac:dyDescent="0.3">
      <c r="A327" s="10" t="s">
        <v>977</v>
      </c>
      <c r="B327" s="10" t="s">
        <v>220</v>
      </c>
      <c r="C327" s="10" t="s">
        <v>526</v>
      </c>
      <c r="D327" s="22">
        <v>0.69</v>
      </c>
      <c r="E327" s="27">
        <v>0</v>
      </c>
      <c r="F327" s="27">
        <v>0</v>
      </c>
      <c r="G327" s="27">
        <v>153671</v>
      </c>
      <c r="H327" s="27">
        <v>106032.99</v>
      </c>
      <c r="I327" s="27">
        <v>0</v>
      </c>
      <c r="J327" s="27">
        <v>0</v>
      </c>
      <c r="K327" s="27">
        <v>153671</v>
      </c>
      <c r="L327" s="27">
        <v>106032.99</v>
      </c>
      <c r="M327" s="10" t="s">
        <v>122</v>
      </c>
      <c r="N327" s="25" t="s">
        <v>1078</v>
      </c>
      <c r="O327" s="7" t="s">
        <v>43</v>
      </c>
      <c r="P327" s="7" t="s">
        <v>677</v>
      </c>
      <c r="Q327" s="7" t="s">
        <v>677</v>
      </c>
      <c r="R327" s="7" t="s">
        <v>184</v>
      </c>
      <c r="S327" s="28">
        <v>10</v>
      </c>
      <c r="T327" s="7" t="s">
        <v>677</v>
      </c>
      <c r="U327" s="28">
        <v>0</v>
      </c>
      <c r="V327" s="28">
        <v>1</v>
      </c>
      <c r="W327" s="28">
        <v>0</v>
      </c>
      <c r="X327" s="28">
        <v>0</v>
      </c>
      <c r="Y327" s="28">
        <v>0</v>
      </c>
      <c r="Z327" s="28">
        <v>0</v>
      </c>
      <c r="AA327" s="28">
        <v>0</v>
      </c>
      <c r="AB327" s="28">
        <v>0</v>
      </c>
    </row>
    <row r="328" spans="1:28" ht="30" customHeight="1" x14ac:dyDescent="0.3">
      <c r="A328" s="10" t="s">
        <v>941</v>
      </c>
      <c r="B328" s="10" t="s">
        <v>80</v>
      </c>
      <c r="C328" s="10" t="s">
        <v>104</v>
      </c>
      <c r="D328" s="22">
        <v>1</v>
      </c>
      <c r="E328" s="27">
        <v>2120.65</v>
      </c>
      <c r="F328" s="27">
        <v>2120.65</v>
      </c>
      <c r="G328" s="27">
        <v>0</v>
      </c>
      <c r="H328" s="27">
        <v>0</v>
      </c>
      <c r="I328" s="27">
        <v>0</v>
      </c>
      <c r="J328" s="27">
        <v>0</v>
      </c>
      <c r="K328" s="27">
        <v>2120.65</v>
      </c>
      <c r="L328" s="27">
        <v>2120.65</v>
      </c>
      <c r="M328" s="10"/>
      <c r="N328" s="25" t="s">
        <v>1078</v>
      </c>
      <c r="O328" s="7" t="s">
        <v>459</v>
      </c>
      <c r="P328" s="7" t="s">
        <v>677</v>
      </c>
      <c r="Q328" s="7" t="s">
        <v>677</v>
      </c>
      <c r="R328" s="7" t="s">
        <v>184</v>
      </c>
      <c r="S328" s="28">
        <v>20</v>
      </c>
      <c r="T328" s="7" t="s">
        <v>554</v>
      </c>
      <c r="U328" s="28">
        <v>0.02</v>
      </c>
      <c r="V328" s="28">
        <v>0</v>
      </c>
      <c r="W328" s="28">
        <v>0</v>
      </c>
      <c r="X328" s="28">
        <v>0</v>
      </c>
      <c r="Y328" s="28">
        <v>0</v>
      </c>
      <c r="Z328" s="28">
        <v>0</v>
      </c>
      <c r="AA328" s="28">
        <v>0</v>
      </c>
      <c r="AB328" s="28">
        <v>0</v>
      </c>
    </row>
    <row r="329" spans="1:28" ht="30" customHeight="1" x14ac:dyDescent="0.3">
      <c r="A329" s="10" t="s">
        <v>489</v>
      </c>
      <c r="B329" s="10" t="s">
        <v>677</v>
      </c>
      <c r="C329" s="10" t="s">
        <v>677</v>
      </c>
      <c r="D329" s="10" t="s">
        <v>677</v>
      </c>
      <c r="E329" s="27">
        <v>0</v>
      </c>
      <c r="F329" s="27">
        <v>2120</v>
      </c>
      <c r="G329" s="27">
        <v>0</v>
      </c>
      <c r="H329" s="27">
        <v>106032</v>
      </c>
      <c r="I329" s="27">
        <v>0</v>
      </c>
      <c r="J329" s="27">
        <v>0</v>
      </c>
      <c r="K329" s="30" t="s">
        <v>677</v>
      </c>
      <c r="L329" s="27">
        <f>F329+H329+J329</f>
        <v>108152</v>
      </c>
      <c r="M329" s="10"/>
      <c r="N329" s="9" t="s">
        <v>606</v>
      </c>
      <c r="O329" s="26" t="s">
        <v>606</v>
      </c>
    </row>
    <row r="330" spans="1:28" ht="30" customHeight="1" x14ac:dyDescent="0.3">
      <c r="A330" s="7"/>
      <c r="B330" s="7"/>
      <c r="C330" s="7"/>
      <c r="D330" s="7"/>
      <c r="E330" s="32"/>
      <c r="F330" s="32"/>
      <c r="G330" s="32"/>
      <c r="H330" s="32"/>
      <c r="I330" s="32"/>
      <c r="J330" s="32"/>
      <c r="K330" s="26"/>
      <c r="L330" s="32"/>
      <c r="M330" s="7"/>
      <c r="N330" s="26"/>
      <c r="O330" s="26"/>
    </row>
    <row r="331" spans="1:28" ht="30" customHeight="1" x14ac:dyDescent="0.3">
      <c r="A331" s="96" t="s">
        <v>1141</v>
      </c>
      <c r="B331" s="97"/>
      <c r="C331" s="97"/>
      <c r="D331" s="97"/>
      <c r="E331" s="97"/>
      <c r="F331" s="97"/>
      <c r="G331" s="97"/>
      <c r="H331" s="97"/>
      <c r="I331" s="97"/>
      <c r="J331" s="97"/>
      <c r="K331" s="97"/>
      <c r="L331" s="97"/>
      <c r="M331" s="98"/>
      <c r="N331" s="25" t="s">
        <v>1302</v>
      </c>
    </row>
    <row r="332" spans="1:28" ht="30" customHeight="1" x14ac:dyDescent="0.3">
      <c r="A332" s="10" t="s">
        <v>413</v>
      </c>
      <c r="B332" s="10" t="s">
        <v>220</v>
      </c>
      <c r="C332" s="10" t="s">
        <v>526</v>
      </c>
      <c r="D332" s="22">
        <v>1E-3</v>
      </c>
      <c r="E332" s="27">
        <f>단가대비표!O38</f>
        <v>0</v>
      </c>
      <c r="F332" s="27">
        <f>ROUNDDOWN(D332*E332,2)</f>
        <v>0</v>
      </c>
      <c r="G332" s="27">
        <f>단가대비표!V38</f>
        <v>192375</v>
      </c>
      <c r="H332" s="27">
        <f>ROUNDDOWN(D332*G332,2)</f>
        <v>192.37</v>
      </c>
      <c r="I332" s="27">
        <f>단가대비표!AE97</f>
        <v>0</v>
      </c>
      <c r="J332" s="27">
        <f>ROUNDDOWN(D332*I332,2)</f>
        <v>0</v>
      </c>
      <c r="K332" s="27">
        <f>ROUNDDOWN(E332+G332+I332,2)</f>
        <v>192375</v>
      </c>
      <c r="L332" s="27">
        <f>ROUNDDOWN(F332+H332+J332,2)</f>
        <v>192.37</v>
      </c>
      <c r="M332" s="10" t="s">
        <v>613</v>
      </c>
      <c r="N332" s="25" t="s">
        <v>141</v>
      </c>
      <c r="O332" s="7" t="s">
        <v>1041</v>
      </c>
      <c r="P332" s="7" t="s">
        <v>677</v>
      </c>
      <c r="Q332" s="7" t="s">
        <v>677</v>
      </c>
      <c r="R332" s="7" t="s">
        <v>184</v>
      </c>
      <c r="S332" s="28">
        <v>10</v>
      </c>
      <c r="T332" s="7" t="s">
        <v>677</v>
      </c>
      <c r="U332" s="28">
        <v>0</v>
      </c>
      <c r="V332" s="28">
        <v>0</v>
      </c>
      <c r="W332" s="28">
        <v>0</v>
      </c>
      <c r="X332" s="28">
        <v>0</v>
      </c>
      <c r="Y332" s="28">
        <v>0</v>
      </c>
      <c r="Z332" s="28">
        <v>0</v>
      </c>
      <c r="AA332" s="28">
        <v>0</v>
      </c>
      <c r="AB332" s="28">
        <v>0</v>
      </c>
    </row>
    <row r="333" spans="1:28" ht="30" customHeight="1" x14ac:dyDescent="0.3">
      <c r="A333" s="10" t="s">
        <v>977</v>
      </c>
      <c r="B333" s="10" t="s">
        <v>220</v>
      </c>
      <c r="C333" s="10" t="s">
        <v>526</v>
      </c>
      <c r="D333" s="22">
        <v>8.0000000000000002E-3</v>
      </c>
      <c r="E333" s="27">
        <f>단가대비표!O37</f>
        <v>0</v>
      </c>
      <c r="F333" s="27">
        <f>ROUNDDOWN(D333*E333,2)</f>
        <v>0</v>
      </c>
      <c r="G333" s="27">
        <f>단가대비표!V37</f>
        <v>153671</v>
      </c>
      <c r="H333" s="27">
        <f>ROUNDDOWN(D333*G333,2)</f>
        <v>1229.3599999999999</v>
      </c>
      <c r="I333" s="27">
        <f>단가대비표!AE48</f>
        <v>0</v>
      </c>
      <c r="J333" s="27">
        <f>ROUNDDOWN(D333*I333,2)</f>
        <v>0</v>
      </c>
      <c r="K333" s="27">
        <f t="shared" ref="K333" si="49">ROUNDDOWN(E333+G333+I333,2)</f>
        <v>153671</v>
      </c>
      <c r="L333" s="27">
        <f t="shared" ref="L333" si="50">ROUNDDOWN(F333+H333+J333,2)</f>
        <v>1229.3599999999999</v>
      </c>
      <c r="M333" s="10" t="s">
        <v>122</v>
      </c>
      <c r="N333" s="25" t="s">
        <v>161</v>
      </c>
      <c r="O333" s="7" t="s">
        <v>43</v>
      </c>
      <c r="P333" s="7" t="s">
        <v>677</v>
      </c>
      <c r="Q333" s="7" t="s">
        <v>677</v>
      </c>
      <c r="R333" s="7" t="s">
        <v>184</v>
      </c>
      <c r="S333" s="28">
        <v>20</v>
      </c>
      <c r="T333" s="7" t="s">
        <v>589</v>
      </c>
      <c r="U333" s="28">
        <v>0</v>
      </c>
      <c r="V333" s="28">
        <v>1</v>
      </c>
      <c r="W333" s="28">
        <v>0</v>
      </c>
      <c r="X333" s="28">
        <v>0</v>
      </c>
      <c r="Y333" s="28">
        <v>0</v>
      </c>
      <c r="Z333" s="28">
        <v>0</v>
      </c>
      <c r="AA333" s="28">
        <v>0</v>
      </c>
      <c r="AB333" s="28">
        <v>0</v>
      </c>
    </row>
    <row r="334" spans="1:28" ht="30" customHeight="1" x14ac:dyDescent="0.3">
      <c r="A334" s="10" t="s">
        <v>489</v>
      </c>
      <c r="B334" s="10" t="s">
        <v>677</v>
      </c>
      <c r="C334" s="10" t="s">
        <v>677</v>
      </c>
      <c r="D334" s="10" t="s">
        <v>677</v>
      </c>
      <c r="E334" s="27">
        <v>0</v>
      </c>
      <c r="F334" s="27">
        <f>ROUNDDOWN(SUMIF(R332:R333, " ", F332:F333),0)</f>
        <v>0</v>
      </c>
      <c r="G334" s="27">
        <v>0</v>
      </c>
      <c r="H334" s="27">
        <f>ROUNDDOWN(SUMIF(R332:R333, " ", H332:H333),0)</f>
        <v>1421</v>
      </c>
      <c r="I334" s="27">
        <v>0</v>
      </c>
      <c r="J334" s="27">
        <f>ROUNDDOWN(SUMIF(R332:R333, " ", J332:J333),0)</f>
        <v>0</v>
      </c>
      <c r="K334" s="30" t="s">
        <v>677</v>
      </c>
      <c r="L334" s="27">
        <f>F334+H334+J334</f>
        <v>1421</v>
      </c>
      <c r="M334" s="10"/>
      <c r="N334" s="9" t="s">
        <v>606</v>
      </c>
      <c r="O334" s="26" t="s">
        <v>606</v>
      </c>
    </row>
    <row r="335" spans="1:28" ht="30" customHeight="1" x14ac:dyDescent="0.3">
      <c r="A335" s="7"/>
      <c r="B335" s="7"/>
      <c r="C335" s="7"/>
      <c r="D335" s="7"/>
      <c r="E335" s="32"/>
      <c r="F335" s="32"/>
      <c r="G335" s="32"/>
      <c r="H335" s="32"/>
      <c r="I335" s="32"/>
      <c r="J335" s="32"/>
      <c r="K335" s="26"/>
      <c r="L335" s="32"/>
      <c r="M335" s="7"/>
      <c r="N335" s="26"/>
      <c r="O335" s="26"/>
    </row>
    <row r="336" spans="1:28" ht="30" customHeight="1" x14ac:dyDescent="0.3">
      <c r="A336" s="96" t="s">
        <v>1298</v>
      </c>
      <c r="B336" s="97"/>
      <c r="C336" s="97"/>
      <c r="D336" s="97"/>
      <c r="E336" s="97"/>
      <c r="F336" s="97"/>
      <c r="G336" s="97"/>
      <c r="H336" s="97"/>
      <c r="I336" s="97"/>
      <c r="J336" s="97"/>
      <c r="K336" s="97"/>
      <c r="L336" s="97"/>
      <c r="M336" s="98"/>
      <c r="N336" s="25" t="s">
        <v>1301</v>
      </c>
    </row>
    <row r="337" spans="1:28" ht="30" customHeight="1" x14ac:dyDescent="0.3">
      <c r="A337" s="10" t="s">
        <v>1230</v>
      </c>
      <c r="B337" s="10" t="s">
        <v>1231</v>
      </c>
      <c r="C337" s="10" t="s">
        <v>961</v>
      </c>
      <c r="D337" s="22">
        <v>1.5709999999999998E-2</v>
      </c>
      <c r="E337" s="27">
        <f>단가대비표!U87</f>
        <v>2290</v>
      </c>
      <c r="F337" s="27">
        <f t="shared" ref="F337:F346" si="51">ROUNDDOWN(D337*E337,2)</f>
        <v>35.97</v>
      </c>
      <c r="G337" s="27">
        <f>[2]단가대비표!V211</f>
        <v>0</v>
      </c>
      <c r="H337" s="27">
        <f t="shared" ref="H337:H346" si="52">ROUNDDOWN(D337*G337,2)</f>
        <v>0</v>
      </c>
      <c r="I337" s="27">
        <f>[2]단가대비표!AE211</f>
        <v>0</v>
      </c>
      <c r="J337" s="27">
        <f t="shared" ref="J337:J346" si="53">ROUNDDOWN(D337*I337,2)</f>
        <v>0</v>
      </c>
      <c r="K337" s="27">
        <f t="shared" ref="K337:L346" si="54">ROUNDDOWN(E337+G337+I337,2)</f>
        <v>2290</v>
      </c>
      <c r="L337" s="27">
        <f t="shared" si="54"/>
        <v>35.97</v>
      </c>
      <c r="M337" s="10" t="str">
        <f>단가대비표!AF87</f>
        <v>자재 44</v>
      </c>
      <c r="N337" s="25" t="s">
        <v>1227</v>
      </c>
      <c r="O337" s="7" t="s">
        <v>1232</v>
      </c>
      <c r="P337" s="7" t="s">
        <v>677</v>
      </c>
      <c r="Q337" s="7" t="s">
        <v>677</v>
      </c>
      <c r="R337" s="7" t="s">
        <v>184</v>
      </c>
      <c r="S337" s="28">
        <v>10</v>
      </c>
      <c r="T337" s="7" t="s">
        <v>677</v>
      </c>
      <c r="U337" s="28">
        <v>0</v>
      </c>
      <c r="V337" s="28">
        <v>0</v>
      </c>
      <c r="W337" s="28">
        <v>0</v>
      </c>
      <c r="X337" s="28">
        <v>0</v>
      </c>
      <c r="Y337" s="28">
        <v>0</v>
      </c>
      <c r="Z337" s="28">
        <v>0</v>
      </c>
      <c r="AA337" s="28">
        <v>0</v>
      </c>
      <c r="AB337" s="28">
        <v>0</v>
      </c>
    </row>
    <row r="338" spans="1:28" ht="30" customHeight="1" x14ac:dyDescent="0.3">
      <c r="A338" s="10" t="s">
        <v>1233</v>
      </c>
      <c r="B338" s="10" t="s">
        <v>1233</v>
      </c>
      <c r="C338" s="10" t="s">
        <v>240</v>
      </c>
      <c r="D338" s="22">
        <v>5.3550000000000004</v>
      </c>
      <c r="E338" s="27">
        <f>단가대비표!U88</f>
        <v>2</v>
      </c>
      <c r="F338" s="27">
        <f t="shared" ref="F338:F339" si="55">ROUNDDOWN(D338*E338,2)</f>
        <v>10.71</v>
      </c>
      <c r="G338" s="27">
        <f>[2]단가대비표!V212</f>
        <v>0</v>
      </c>
      <c r="H338" s="27">
        <f t="shared" ref="H338:H339" si="56">ROUNDDOWN(D338*G338,2)</f>
        <v>0</v>
      </c>
      <c r="I338" s="27">
        <f>[2]단가대비표!AE212</f>
        <v>0</v>
      </c>
      <c r="J338" s="27">
        <f t="shared" ref="J338:J345" si="57">ROUNDDOWN(D338*I338,2)</f>
        <v>0</v>
      </c>
      <c r="K338" s="27">
        <f t="shared" si="54"/>
        <v>2</v>
      </c>
      <c r="L338" s="27">
        <f t="shared" si="54"/>
        <v>10.71</v>
      </c>
      <c r="M338" s="10" t="str">
        <f>단가대비표!AF88</f>
        <v>자재 45</v>
      </c>
      <c r="N338" s="25" t="s">
        <v>1227</v>
      </c>
      <c r="O338" s="7" t="s">
        <v>1234</v>
      </c>
      <c r="P338" s="7" t="s">
        <v>677</v>
      </c>
      <c r="Q338" s="7" t="s">
        <v>677</v>
      </c>
      <c r="R338" s="7" t="s">
        <v>184</v>
      </c>
      <c r="S338" s="28">
        <v>20</v>
      </c>
      <c r="T338" s="7" t="s">
        <v>677</v>
      </c>
      <c r="U338" s="28">
        <v>0</v>
      </c>
      <c r="V338" s="28">
        <v>0</v>
      </c>
      <c r="W338" s="28">
        <v>0</v>
      </c>
      <c r="X338" s="28">
        <v>0</v>
      </c>
      <c r="Y338" s="28">
        <v>0</v>
      </c>
      <c r="Z338" s="28">
        <v>0</v>
      </c>
      <c r="AA338" s="28">
        <v>0</v>
      </c>
      <c r="AB338" s="28">
        <v>0</v>
      </c>
    </row>
    <row r="339" spans="1:28" ht="30" customHeight="1" x14ac:dyDescent="0.3">
      <c r="A339" s="10" t="s">
        <v>1235</v>
      </c>
      <c r="B339" s="10" t="s">
        <v>1236</v>
      </c>
      <c r="C339" s="10" t="s">
        <v>961</v>
      </c>
      <c r="D339" s="22">
        <v>2.3999999999999998E-3</v>
      </c>
      <c r="E339" s="27">
        <f>단가대비표!U89</f>
        <v>13844</v>
      </c>
      <c r="F339" s="27">
        <f t="shared" si="55"/>
        <v>33.22</v>
      </c>
      <c r="G339" s="27">
        <f>[2]단가대비표!V213</f>
        <v>0</v>
      </c>
      <c r="H339" s="27">
        <f t="shared" si="56"/>
        <v>0</v>
      </c>
      <c r="I339" s="27">
        <f>[2]단가대비표!AE213</f>
        <v>0</v>
      </c>
      <c r="J339" s="27">
        <f t="shared" si="57"/>
        <v>0</v>
      </c>
      <c r="K339" s="27">
        <f t="shared" si="54"/>
        <v>13844</v>
      </c>
      <c r="L339" s="27">
        <f t="shared" si="54"/>
        <v>33.22</v>
      </c>
      <c r="M339" s="10" t="str">
        <f>단가대비표!AF89</f>
        <v>자재 46</v>
      </c>
      <c r="N339" s="25" t="s">
        <v>1227</v>
      </c>
      <c r="O339" s="7" t="s">
        <v>1237</v>
      </c>
      <c r="P339" s="7" t="s">
        <v>677</v>
      </c>
      <c r="Q339" s="7" t="s">
        <v>677</v>
      </c>
      <c r="R339" s="7" t="s">
        <v>184</v>
      </c>
      <c r="S339" s="28">
        <v>30</v>
      </c>
      <c r="T339" s="7" t="s">
        <v>677</v>
      </c>
      <c r="U339" s="28">
        <v>0</v>
      </c>
      <c r="V339" s="28">
        <v>0</v>
      </c>
      <c r="W339" s="28">
        <v>0</v>
      </c>
      <c r="X339" s="28">
        <v>0</v>
      </c>
      <c r="Y339" s="28">
        <v>0</v>
      </c>
      <c r="Z339" s="28">
        <v>0</v>
      </c>
      <c r="AA339" s="28">
        <v>0</v>
      </c>
      <c r="AB339" s="28">
        <v>0</v>
      </c>
    </row>
    <row r="340" spans="1:28" ht="30" customHeight="1" x14ac:dyDescent="0.3">
      <c r="A340" s="10" t="s">
        <v>1238</v>
      </c>
      <c r="B340" s="10" t="s">
        <v>1239</v>
      </c>
      <c r="C340" s="10" t="s">
        <v>249</v>
      </c>
      <c r="D340" s="22">
        <v>1.771E-2</v>
      </c>
      <c r="E340" s="27">
        <f>단가대비표!U90</f>
        <v>0</v>
      </c>
      <c r="F340" s="27">
        <f t="shared" ref="F340" si="58">ROUNDDOWN(D340*E340,2)</f>
        <v>0</v>
      </c>
      <c r="G340" s="27">
        <f>[2]단가대비표!V214</f>
        <v>0</v>
      </c>
      <c r="H340" s="27">
        <f t="shared" ref="H340" si="59">ROUNDDOWN(D340*G340,2)</f>
        <v>0</v>
      </c>
      <c r="I340" s="27">
        <f>일위대가목록!G61</f>
        <v>142</v>
      </c>
      <c r="J340" s="27">
        <f t="shared" si="57"/>
        <v>2.5099999999999998</v>
      </c>
      <c r="K340" s="27">
        <f t="shared" si="54"/>
        <v>142</v>
      </c>
      <c r="L340" s="27">
        <f t="shared" si="54"/>
        <v>2.5099999999999998</v>
      </c>
      <c r="M340" s="10" t="s">
        <v>1263</v>
      </c>
      <c r="N340" s="25" t="s">
        <v>1227</v>
      </c>
      <c r="O340" s="7" t="s">
        <v>1240</v>
      </c>
      <c r="P340" s="7" t="s">
        <v>677</v>
      </c>
      <c r="Q340" s="7" t="s">
        <v>677</v>
      </c>
      <c r="R340" s="7" t="s">
        <v>184</v>
      </c>
      <c r="S340" s="28">
        <v>40</v>
      </c>
      <c r="T340" s="7" t="s">
        <v>677</v>
      </c>
      <c r="U340" s="28">
        <v>0</v>
      </c>
      <c r="V340" s="28">
        <v>0</v>
      </c>
      <c r="W340" s="28">
        <v>0</v>
      </c>
      <c r="X340" s="28">
        <v>0</v>
      </c>
      <c r="Y340" s="28">
        <v>0</v>
      </c>
      <c r="Z340" s="28">
        <v>0</v>
      </c>
      <c r="AA340" s="28">
        <v>0</v>
      </c>
      <c r="AB340" s="28">
        <v>0</v>
      </c>
    </row>
    <row r="341" spans="1:28" ht="30" customHeight="1" x14ac:dyDescent="0.3">
      <c r="A341" s="10" t="s">
        <v>1241</v>
      </c>
      <c r="B341" s="10" t="s">
        <v>1242</v>
      </c>
      <c r="C341" s="10" t="s">
        <v>1243</v>
      </c>
      <c r="D341" s="22">
        <v>0.1071</v>
      </c>
      <c r="E341" s="27">
        <f>[2]단가대비표!U277</f>
        <v>0</v>
      </c>
      <c r="F341" s="27">
        <f t="shared" si="51"/>
        <v>0</v>
      </c>
      <c r="G341" s="27">
        <f>[2]단가대비표!V277</f>
        <v>0</v>
      </c>
      <c r="H341" s="27">
        <f t="shared" si="52"/>
        <v>0</v>
      </c>
      <c r="I341" s="27">
        <f>[2]단가대비표!AE277</f>
        <v>0</v>
      </c>
      <c r="J341" s="27">
        <f t="shared" si="57"/>
        <v>0</v>
      </c>
      <c r="K341" s="27">
        <f t="shared" si="54"/>
        <v>0</v>
      </c>
      <c r="L341" s="27">
        <f t="shared" si="54"/>
        <v>0</v>
      </c>
      <c r="M341" s="10" t="str">
        <f>단가대비표!AF90</f>
        <v>경비 21</v>
      </c>
      <c r="N341" s="25" t="s">
        <v>1227</v>
      </c>
      <c r="O341" s="7" t="s">
        <v>1244</v>
      </c>
      <c r="P341" s="7" t="s">
        <v>677</v>
      </c>
      <c r="Q341" s="7" t="s">
        <v>677</v>
      </c>
      <c r="R341" s="7" t="s">
        <v>184</v>
      </c>
      <c r="S341" s="28">
        <v>50</v>
      </c>
      <c r="T341" s="7" t="s">
        <v>677</v>
      </c>
      <c r="U341" s="28">
        <v>0</v>
      </c>
      <c r="V341" s="28">
        <v>0</v>
      </c>
      <c r="W341" s="28">
        <v>0</v>
      </c>
      <c r="X341" s="28">
        <v>0</v>
      </c>
      <c r="Y341" s="28">
        <v>0</v>
      </c>
      <c r="Z341" s="28">
        <v>0</v>
      </c>
      <c r="AA341" s="28">
        <v>0</v>
      </c>
      <c r="AB341" s="28">
        <v>0</v>
      </c>
    </row>
    <row r="342" spans="1:28" ht="30" customHeight="1" x14ac:dyDescent="0.3">
      <c r="A342" s="10" t="s">
        <v>1245</v>
      </c>
      <c r="B342" s="10" t="s">
        <v>220</v>
      </c>
      <c r="C342" s="10" t="s">
        <v>526</v>
      </c>
      <c r="D342" s="22">
        <v>2.18E-2</v>
      </c>
      <c r="E342" s="27">
        <f>[2]단가대비표!U247</f>
        <v>0</v>
      </c>
      <c r="F342" s="27">
        <f t="shared" si="51"/>
        <v>0</v>
      </c>
      <c r="G342" s="27">
        <f>단가대비표!V91</f>
        <v>193615</v>
      </c>
      <c r="H342" s="27">
        <f t="shared" si="52"/>
        <v>4220.8</v>
      </c>
      <c r="I342" s="27">
        <f>[2]단가대비표!AE247</f>
        <v>0</v>
      </c>
      <c r="J342" s="27">
        <f t="shared" si="57"/>
        <v>0</v>
      </c>
      <c r="K342" s="27">
        <f t="shared" si="54"/>
        <v>193615</v>
      </c>
      <c r="L342" s="27">
        <f t="shared" si="54"/>
        <v>4220.8</v>
      </c>
      <c r="M342" s="10" t="str">
        <f>단가대비표!AF91</f>
        <v>노임 19</v>
      </c>
      <c r="N342" s="25" t="s">
        <v>1227</v>
      </c>
      <c r="O342" s="7" t="s">
        <v>1246</v>
      </c>
      <c r="P342" s="7" t="s">
        <v>677</v>
      </c>
      <c r="Q342" s="7" t="s">
        <v>677</v>
      </c>
      <c r="R342" s="7" t="s">
        <v>184</v>
      </c>
      <c r="S342" s="28">
        <v>60</v>
      </c>
      <c r="T342" s="7" t="s">
        <v>677</v>
      </c>
      <c r="U342" s="28">
        <v>0</v>
      </c>
      <c r="V342" s="28">
        <v>1</v>
      </c>
      <c r="W342" s="28">
        <v>0</v>
      </c>
      <c r="X342" s="28">
        <v>0</v>
      </c>
      <c r="Y342" s="28">
        <v>0</v>
      </c>
      <c r="Z342" s="28">
        <v>0</v>
      </c>
      <c r="AA342" s="28">
        <v>0</v>
      </c>
      <c r="AB342" s="28">
        <v>0</v>
      </c>
    </row>
    <row r="343" spans="1:28" ht="30" customHeight="1" x14ac:dyDescent="0.3">
      <c r="A343" s="10" t="s">
        <v>977</v>
      </c>
      <c r="B343" s="10" t="s">
        <v>220</v>
      </c>
      <c r="C343" s="10" t="s">
        <v>526</v>
      </c>
      <c r="D343" s="22">
        <v>5.5999999999999995E-4</v>
      </c>
      <c r="E343" s="27">
        <f>[2]단가대비표!U242</f>
        <v>0</v>
      </c>
      <c r="F343" s="27">
        <f t="shared" si="51"/>
        <v>0</v>
      </c>
      <c r="G343" s="27">
        <f>단가대비표!V37</f>
        <v>153671</v>
      </c>
      <c r="H343" s="27">
        <f t="shared" si="52"/>
        <v>86.05</v>
      </c>
      <c r="I343" s="27"/>
      <c r="J343" s="27">
        <f t="shared" si="57"/>
        <v>0</v>
      </c>
      <c r="K343" s="27">
        <f t="shared" si="54"/>
        <v>153671</v>
      </c>
      <c r="L343" s="27">
        <f t="shared" si="54"/>
        <v>86.05</v>
      </c>
      <c r="M343" s="10" t="s">
        <v>122</v>
      </c>
      <c r="N343" s="25" t="s">
        <v>1227</v>
      </c>
      <c r="O343" s="7" t="s">
        <v>43</v>
      </c>
      <c r="P343" s="7" t="s">
        <v>677</v>
      </c>
      <c r="Q343" s="7" t="s">
        <v>677</v>
      </c>
      <c r="R343" s="7" t="s">
        <v>184</v>
      </c>
      <c r="S343" s="28">
        <v>70</v>
      </c>
      <c r="T343" s="7" t="s">
        <v>677</v>
      </c>
      <c r="U343" s="28">
        <v>0</v>
      </c>
      <c r="V343" s="28">
        <v>1</v>
      </c>
      <c r="W343" s="28">
        <v>0</v>
      </c>
      <c r="X343" s="28">
        <v>0</v>
      </c>
      <c r="Y343" s="28">
        <v>0</v>
      </c>
      <c r="Z343" s="28">
        <v>0</v>
      </c>
      <c r="AA343" s="28">
        <v>0</v>
      </c>
      <c r="AB343" s="28">
        <v>0</v>
      </c>
    </row>
    <row r="344" spans="1:28" ht="30" customHeight="1" x14ac:dyDescent="0.3">
      <c r="A344" s="10" t="s">
        <v>499</v>
      </c>
      <c r="B344" s="10" t="s">
        <v>220</v>
      </c>
      <c r="C344" s="10" t="s">
        <v>526</v>
      </c>
      <c r="D344" s="22">
        <v>2.2100000000000002E-3</v>
      </c>
      <c r="E344" s="27">
        <f>[2]단가대비표!U249</f>
        <v>0</v>
      </c>
      <c r="F344" s="27">
        <f t="shared" si="51"/>
        <v>0</v>
      </c>
      <c r="G344" s="27">
        <f>단가대비표!V43</f>
        <v>238739</v>
      </c>
      <c r="H344" s="27">
        <f t="shared" si="52"/>
        <v>527.61</v>
      </c>
      <c r="I344" s="27">
        <f>[2]단가대비표!AE249</f>
        <v>0</v>
      </c>
      <c r="J344" s="27">
        <f t="shared" si="57"/>
        <v>0</v>
      </c>
      <c r="K344" s="27">
        <f t="shared" si="54"/>
        <v>238739</v>
      </c>
      <c r="L344" s="27">
        <f t="shared" si="54"/>
        <v>527.61</v>
      </c>
      <c r="M344" s="10" t="s">
        <v>1254</v>
      </c>
      <c r="N344" s="25" t="s">
        <v>1227</v>
      </c>
      <c r="O344" s="7" t="s">
        <v>899</v>
      </c>
      <c r="P344" s="7" t="s">
        <v>677</v>
      </c>
      <c r="Q344" s="7" t="s">
        <v>677</v>
      </c>
      <c r="R344" s="7" t="s">
        <v>184</v>
      </c>
      <c r="S344" s="28">
        <v>80</v>
      </c>
      <c r="T344" s="7" t="s">
        <v>677</v>
      </c>
      <c r="U344" s="28">
        <v>0</v>
      </c>
      <c r="V344" s="28">
        <v>1</v>
      </c>
      <c r="W344" s="28">
        <v>0</v>
      </c>
      <c r="X344" s="28">
        <v>0</v>
      </c>
      <c r="Y344" s="28">
        <v>0</v>
      </c>
      <c r="Z344" s="28">
        <v>0</v>
      </c>
      <c r="AA344" s="28">
        <v>0</v>
      </c>
      <c r="AB344" s="28">
        <v>0</v>
      </c>
    </row>
    <row r="345" spans="1:28" ht="30" customHeight="1" x14ac:dyDescent="0.3">
      <c r="A345" s="10" t="s">
        <v>413</v>
      </c>
      <c r="B345" s="10" t="s">
        <v>220</v>
      </c>
      <c r="C345" s="10" t="s">
        <v>526</v>
      </c>
      <c r="D345" s="22">
        <v>6.3000000000000003E-4</v>
      </c>
      <c r="E345" s="27">
        <f>[2]단가대비표!U243</f>
        <v>0</v>
      </c>
      <c r="F345" s="27">
        <f t="shared" si="51"/>
        <v>0</v>
      </c>
      <c r="G345" s="27">
        <f>단가대비표!V38</f>
        <v>192375</v>
      </c>
      <c r="H345" s="27">
        <f t="shared" si="52"/>
        <v>121.19</v>
      </c>
      <c r="I345" s="27"/>
      <c r="J345" s="27">
        <f t="shared" si="57"/>
        <v>0</v>
      </c>
      <c r="K345" s="27">
        <f t="shared" si="54"/>
        <v>192375</v>
      </c>
      <c r="L345" s="27">
        <f t="shared" si="54"/>
        <v>121.19</v>
      </c>
      <c r="M345" s="10" t="s">
        <v>613</v>
      </c>
      <c r="N345" s="25" t="s">
        <v>1227</v>
      </c>
      <c r="O345" s="7" t="s">
        <v>1041</v>
      </c>
      <c r="P345" s="7" t="s">
        <v>677</v>
      </c>
      <c r="Q345" s="7" t="s">
        <v>677</v>
      </c>
      <c r="R345" s="7" t="s">
        <v>184</v>
      </c>
      <c r="S345" s="28">
        <v>90</v>
      </c>
      <c r="T345" s="7" t="s">
        <v>677</v>
      </c>
      <c r="U345" s="28">
        <v>0</v>
      </c>
      <c r="V345" s="28">
        <v>1</v>
      </c>
      <c r="W345" s="28">
        <v>0</v>
      </c>
      <c r="X345" s="28">
        <v>0</v>
      </c>
      <c r="Y345" s="28">
        <v>0</v>
      </c>
      <c r="Z345" s="28">
        <v>0</v>
      </c>
      <c r="AA345" s="28">
        <v>0</v>
      </c>
      <c r="AB345" s="28">
        <v>0</v>
      </c>
    </row>
    <row r="346" spans="1:28" ht="30" customHeight="1" x14ac:dyDescent="0.3">
      <c r="A346" s="10" t="s">
        <v>941</v>
      </c>
      <c r="B346" s="10" t="s">
        <v>295</v>
      </c>
      <c r="C346" s="10" t="s">
        <v>104</v>
      </c>
      <c r="D346" s="22">
        <v>1</v>
      </c>
      <c r="E346" s="27">
        <v>0</v>
      </c>
      <c r="F346" s="27">
        <f t="shared" si="51"/>
        <v>0</v>
      </c>
      <c r="G346" s="27">
        <v>0</v>
      </c>
      <c r="H346" s="27">
        <f t="shared" si="52"/>
        <v>0</v>
      </c>
      <c r="I346" s="27">
        <f>ROUNDDOWN(SUMIF(V337:V346, RIGHTB(O346, 1), H337:H346)*U346, 2)</f>
        <v>148.66</v>
      </c>
      <c r="J346" s="27">
        <f t="shared" si="53"/>
        <v>148.66</v>
      </c>
      <c r="K346" s="27">
        <f t="shared" si="54"/>
        <v>148.66</v>
      </c>
      <c r="L346" s="27">
        <f t="shared" si="54"/>
        <v>148.66</v>
      </c>
      <c r="M346" s="10" t="s">
        <v>677</v>
      </c>
      <c r="N346" s="25" t="s">
        <v>1227</v>
      </c>
      <c r="O346" s="7" t="s">
        <v>459</v>
      </c>
      <c r="P346" s="7" t="s">
        <v>677</v>
      </c>
      <c r="Q346" s="7" t="s">
        <v>677</v>
      </c>
      <c r="R346" s="7" t="s">
        <v>184</v>
      </c>
      <c r="S346" s="28">
        <v>100</v>
      </c>
      <c r="T346" s="7" t="s">
        <v>1247</v>
      </c>
      <c r="U346" s="28">
        <v>0.03</v>
      </c>
      <c r="V346" s="28">
        <v>0</v>
      </c>
      <c r="W346" s="28">
        <v>0</v>
      </c>
      <c r="X346" s="28">
        <v>0</v>
      </c>
      <c r="Y346" s="28">
        <v>0</v>
      </c>
      <c r="Z346" s="28">
        <v>0</v>
      </c>
      <c r="AA346" s="28">
        <v>0</v>
      </c>
      <c r="AB346" s="28">
        <v>0</v>
      </c>
    </row>
    <row r="347" spans="1:28" ht="30" customHeight="1" x14ac:dyDescent="0.3">
      <c r="A347" s="10" t="s">
        <v>489</v>
      </c>
      <c r="B347" s="10" t="s">
        <v>677</v>
      </c>
      <c r="C347" s="10" t="s">
        <v>677</v>
      </c>
      <c r="D347" s="10" t="s">
        <v>677</v>
      </c>
      <c r="E347" s="27">
        <v>0</v>
      </c>
      <c r="F347" s="27">
        <f>ROUNDDOWN(SUMIF(R337:R346, " ", F337:F346),0)</f>
        <v>79</v>
      </c>
      <c r="G347" s="27">
        <v>0</v>
      </c>
      <c r="H347" s="27">
        <f>ROUNDDOWN(SUMIF(R337:R346, " ", H337:H346),0)</f>
        <v>4955</v>
      </c>
      <c r="I347" s="27">
        <v>0</v>
      </c>
      <c r="J347" s="27">
        <f>ROUNDDOWN(SUMIF(R337:R346, " ", J337:J346),0)</f>
        <v>151</v>
      </c>
      <c r="K347" s="30" t="s">
        <v>677</v>
      </c>
      <c r="L347" s="27">
        <f>F347+H347+J347</f>
        <v>5185</v>
      </c>
      <c r="M347" s="10"/>
      <c r="N347" s="9" t="s">
        <v>606</v>
      </c>
      <c r="O347" s="26" t="s">
        <v>606</v>
      </c>
    </row>
    <row r="348" spans="1:28" ht="30" customHeight="1" x14ac:dyDescent="0.3">
      <c r="A348" s="10" t="s">
        <v>677</v>
      </c>
      <c r="B348" s="10" t="s">
        <v>677</v>
      </c>
      <c r="C348" s="10" t="s">
        <v>677</v>
      </c>
      <c r="D348" s="10" t="s">
        <v>677</v>
      </c>
      <c r="E348" s="10" t="s">
        <v>677</v>
      </c>
      <c r="F348" s="10" t="s">
        <v>677</v>
      </c>
      <c r="G348" s="10" t="s">
        <v>677</v>
      </c>
      <c r="H348" s="10" t="s">
        <v>677</v>
      </c>
      <c r="I348" s="10" t="s">
        <v>677</v>
      </c>
      <c r="J348" s="10" t="s">
        <v>677</v>
      </c>
      <c r="K348" s="10" t="s">
        <v>677</v>
      </c>
      <c r="L348" s="10" t="s">
        <v>677</v>
      </c>
      <c r="M348" s="10" t="s">
        <v>677</v>
      </c>
    </row>
    <row r="349" spans="1:28" ht="30" customHeight="1" x14ac:dyDescent="0.3">
      <c r="A349" s="96" t="s">
        <v>1299</v>
      </c>
      <c r="B349" s="97"/>
      <c r="C349" s="97"/>
      <c r="D349" s="97"/>
      <c r="E349" s="97"/>
      <c r="F349" s="97"/>
      <c r="G349" s="97"/>
      <c r="H349" s="97"/>
      <c r="I349" s="97"/>
      <c r="J349" s="97"/>
      <c r="K349" s="97"/>
      <c r="L349" s="97"/>
      <c r="M349" s="98"/>
      <c r="N349" s="25" t="s">
        <v>1229</v>
      </c>
    </row>
    <row r="350" spans="1:28" ht="30" customHeight="1" x14ac:dyDescent="0.3">
      <c r="A350" s="10" t="s">
        <v>977</v>
      </c>
      <c r="B350" s="10" t="s">
        <v>220</v>
      </c>
      <c r="C350" s="10" t="s">
        <v>526</v>
      </c>
      <c r="D350" s="22">
        <v>1E-4</v>
      </c>
      <c r="E350" s="27">
        <f>[2]단가대비표!U242</f>
        <v>0</v>
      </c>
      <c r="F350" s="27">
        <f t="shared" ref="F350:F351" si="60">ROUNDDOWN(D350*E350,2)</f>
        <v>0</v>
      </c>
      <c r="G350" s="27">
        <f>단가대비표!$V$37</f>
        <v>153671</v>
      </c>
      <c r="H350" s="27">
        <f t="shared" ref="H350:H351" si="61">ROUNDDOWN(D350*G350,2)</f>
        <v>15.36</v>
      </c>
      <c r="I350" s="27">
        <f>[2]단가대비표!AE242</f>
        <v>0</v>
      </c>
      <c r="J350" s="27">
        <f t="shared" ref="J350:J351" si="62">ROUNDDOWN(D350*I350,2)</f>
        <v>0</v>
      </c>
      <c r="K350" s="27">
        <f t="shared" ref="K350:L351" si="63">ROUNDDOWN(E350+G350+I350,2)</f>
        <v>153671</v>
      </c>
      <c r="L350" s="27">
        <f t="shared" si="63"/>
        <v>15.36</v>
      </c>
      <c r="M350" s="10" t="s">
        <v>122</v>
      </c>
      <c r="N350" s="25" t="s">
        <v>1229</v>
      </c>
      <c r="O350" s="7" t="s">
        <v>43</v>
      </c>
      <c r="P350" s="7" t="s">
        <v>677</v>
      </c>
      <c r="Q350" s="7" t="s">
        <v>677</v>
      </c>
      <c r="R350" s="7" t="s">
        <v>184</v>
      </c>
      <c r="S350" s="28">
        <v>70</v>
      </c>
      <c r="T350" s="7" t="s">
        <v>677</v>
      </c>
      <c r="U350" s="28">
        <v>0</v>
      </c>
      <c r="V350" s="28">
        <v>1</v>
      </c>
      <c r="W350" s="28">
        <v>0</v>
      </c>
      <c r="X350" s="28">
        <v>0</v>
      </c>
      <c r="Y350" s="28">
        <v>0</v>
      </c>
      <c r="Z350" s="28">
        <v>0</v>
      </c>
      <c r="AA350" s="28">
        <v>0</v>
      </c>
      <c r="AB350" s="28">
        <v>0</v>
      </c>
    </row>
    <row r="351" spans="1:28" ht="30" customHeight="1" x14ac:dyDescent="0.3">
      <c r="A351" s="10" t="s">
        <v>413</v>
      </c>
      <c r="B351" s="10" t="s">
        <v>220</v>
      </c>
      <c r="C351" s="10" t="s">
        <v>526</v>
      </c>
      <c r="D351" s="22">
        <v>1.1E-4</v>
      </c>
      <c r="E351" s="27">
        <f>[2]단가대비표!U243</f>
        <v>0</v>
      </c>
      <c r="F351" s="27">
        <f t="shared" si="60"/>
        <v>0</v>
      </c>
      <c r="G351" s="27">
        <f>단가대비표!$V$38</f>
        <v>192375</v>
      </c>
      <c r="H351" s="27">
        <f t="shared" si="61"/>
        <v>21.16</v>
      </c>
      <c r="I351" s="27">
        <f>[2]단가대비표!AE243</f>
        <v>0</v>
      </c>
      <c r="J351" s="27">
        <f t="shared" si="62"/>
        <v>0</v>
      </c>
      <c r="K351" s="27">
        <f t="shared" si="63"/>
        <v>192375</v>
      </c>
      <c r="L351" s="27">
        <f t="shared" si="63"/>
        <v>21.16</v>
      </c>
      <c r="M351" s="10" t="s">
        <v>613</v>
      </c>
      <c r="N351" s="25" t="s">
        <v>1229</v>
      </c>
      <c r="O351" s="7" t="s">
        <v>1041</v>
      </c>
      <c r="P351" s="7" t="s">
        <v>677</v>
      </c>
      <c r="Q351" s="7" t="s">
        <v>677</v>
      </c>
      <c r="R351" s="7" t="s">
        <v>184</v>
      </c>
      <c r="S351" s="28">
        <v>90</v>
      </c>
      <c r="T351" s="7" t="s">
        <v>677</v>
      </c>
      <c r="U351" s="28">
        <v>0</v>
      </c>
      <c r="V351" s="28">
        <v>1</v>
      </c>
      <c r="W351" s="28">
        <v>0</v>
      </c>
      <c r="X351" s="28">
        <v>0</v>
      </c>
      <c r="Y351" s="28">
        <v>0</v>
      </c>
      <c r="Z351" s="28">
        <v>0</v>
      </c>
      <c r="AA351" s="28">
        <v>0</v>
      </c>
      <c r="AB351" s="28">
        <v>0</v>
      </c>
    </row>
    <row r="352" spans="1:28" ht="30" customHeight="1" x14ac:dyDescent="0.3">
      <c r="A352" s="10" t="s">
        <v>489</v>
      </c>
      <c r="B352" s="10" t="s">
        <v>677</v>
      </c>
      <c r="C352" s="10" t="s">
        <v>677</v>
      </c>
      <c r="D352" s="10" t="s">
        <v>677</v>
      </c>
      <c r="E352" s="27">
        <v>0</v>
      </c>
      <c r="F352" s="27">
        <f>ROUNDDOWN(SUMIF(R350:R351, " ", F350:F351),0)</f>
        <v>0</v>
      </c>
      <c r="G352" s="27">
        <v>0</v>
      </c>
      <c r="H352" s="27">
        <f>ROUNDDOWN(SUMIF(R350:R351, " ", H350:H351),0)</f>
        <v>36</v>
      </c>
      <c r="I352" s="27">
        <v>0</v>
      </c>
      <c r="J352" s="27">
        <f>ROUNDDOWN(SUMIF(R350:R351, " ", J350:J351),0)</f>
        <v>0</v>
      </c>
      <c r="K352" s="30" t="s">
        <v>677</v>
      </c>
      <c r="L352" s="27">
        <f>F352+H352+J352</f>
        <v>36</v>
      </c>
      <c r="M352" s="10"/>
      <c r="N352" s="9" t="s">
        <v>606</v>
      </c>
      <c r="O352" s="26" t="s">
        <v>606</v>
      </c>
    </row>
    <row r="353" spans="1:28" ht="30" customHeight="1" x14ac:dyDescent="0.3">
      <c r="A353" s="10" t="s">
        <v>677</v>
      </c>
      <c r="B353" s="10" t="s">
        <v>677</v>
      </c>
      <c r="C353" s="10" t="s">
        <v>677</v>
      </c>
      <c r="D353" s="10" t="s">
        <v>677</v>
      </c>
      <c r="E353" s="10" t="s">
        <v>677</v>
      </c>
      <c r="F353" s="10" t="s">
        <v>677</v>
      </c>
      <c r="G353" s="10" t="s">
        <v>677</v>
      </c>
      <c r="H353" s="10" t="s">
        <v>677</v>
      </c>
      <c r="I353" s="10" t="s">
        <v>677</v>
      </c>
      <c r="J353" s="10" t="s">
        <v>677</v>
      </c>
      <c r="K353" s="10" t="s">
        <v>677</v>
      </c>
      <c r="L353" s="10" t="s">
        <v>677</v>
      </c>
      <c r="M353" s="10" t="s">
        <v>677</v>
      </c>
    </row>
    <row r="354" spans="1:28" ht="30" customHeight="1" x14ac:dyDescent="0.3">
      <c r="A354" s="96" t="s">
        <v>1300</v>
      </c>
      <c r="B354" s="97"/>
      <c r="C354" s="97"/>
      <c r="D354" s="97"/>
      <c r="E354" s="97"/>
      <c r="F354" s="97"/>
      <c r="G354" s="97"/>
      <c r="H354" s="97"/>
      <c r="I354" s="97"/>
      <c r="J354" s="97"/>
      <c r="K354" s="97"/>
      <c r="L354" s="97"/>
      <c r="M354" s="98"/>
      <c r="N354" s="25" t="s">
        <v>1240</v>
      </c>
    </row>
    <row r="355" spans="1:28" ht="30" customHeight="1" x14ac:dyDescent="0.3">
      <c r="A355" s="10" t="s">
        <v>1260</v>
      </c>
      <c r="B355" s="10" t="s">
        <v>1261</v>
      </c>
      <c r="C355" s="10" t="s">
        <v>796</v>
      </c>
      <c r="D355" s="22">
        <v>0.23619999999999999</v>
      </c>
      <c r="E355" s="27">
        <f>[2]단가대비표!U136</f>
        <v>0</v>
      </c>
      <c r="F355" s="27">
        <f>ROUNDDOWN(D355*E355,2)</f>
        <v>0</v>
      </c>
      <c r="G355" s="27">
        <f>[2]단가대비표!V136</f>
        <v>0</v>
      </c>
      <c r="H355" s="27">
        <f>ROUNDDOWN(D355*G355,2)</f>
        <v>0</v>
      </c>
      <c r="I355" s="27">
        <f>단가대비표!AB92</f>
        <v>603</v>
      </c>
      <c r="J355" s="27">
        <f>ROUNDDOWN(D355*I355,2)</f>
        <v>142.41999999999999</v>
      </c>
      <c r="K355" s="27">
        <f>ROUNDDOWN(E355+G355+I355,2)</f>
        <v>603</v>
      </c>
      <c r="L355" s="27">
        <f>ROUNDDOWN(F355+H355+J355,2)</f>
        <v>142.41999999999999</v>
      </c>
      <c r="M355" s="10" t="s">
        <v>1264</v>
      </c>
      <c r="N355" s="25" t="s">
        <v>1240</v>
      </c>
      <c r="O355" s="7" t="s">
        <v>1262</v>
      </c>
      <c r="P355" s="7" t="s">
        <v>677</v>
      </c>
      <c r="Q355" s="7" t="s">
        <v>677</v>
      </c>
      <c r="R355" s="7" t="s">
        <v>184</v>
      </c>
      <c r="S355" s="28">
        <v>10</v>
      </c>
      <c r="T355" s="7" t="s">
        <v>677</v>
      </c>
      <c r="U355" s="28">
        <v>0</v>
      </c>
      <c r="V355" s="28">
        <v>0</v>
      </c>
      <c r="W355" s="28">
        <v>0</v>
      </c>
      <c r="X355" s="28">
        <v>0</v>
      </c>
      <c r="Y355" s="28">
        <v>0</v>
      </c>
      <c r="Z355" s="28">
        <v>0</v>
      </c>
      <c r="AA355" s="28">
        <v>0</v>
      </c>
      <c r="AB355" s="28">
        <v>0</v>
      </c>
    </row>
    <row r="356" spans="1:28" ht="30" customHeight="1" x14ac:dyDescent="0.3">
      <c r="A356" s="10" t="s">
        <v>489</v>
      </c>
      <c r="B356" s="10" t="s">
        <v>677</v>
      </c>
      <c r="C356" s="10" t="s">
        <v>677</v>
      </c>
      <c r="D356" s="10" t="s">
        <v>677</v>
      </c>
      <c r="E356" s="27">
        <v>0</v>
      </c>
      <c r="F356" s="27">
        <f>ROUNDDOWN(SUMIF(R355:R355, " ", F355:F355),0)</f>
        <v>0</v>
      </c>
      <c r="G356" s="27">
        <v>0</v>
      </c>
      <c r="H356" s="27">
        <f>ROUNDDOWN(SUMIF(R355:R355, " ", H355:H355),0)</f>
        <v>0</v>
      </c>
      <c r="I356" s="27">
        <v>0</v>
      </c>
      <c r="J356" s="27">
        <f>ROUNDDOWN(SUMIF(R355:R355, " ", J355:J355),0)</f>
        <v>142</v>
      </c>
      <c r="K356" s="30" t="s">
        <v>677</v>
      </c>
      <c r="L356" s="27">
        <f>F356+H356+J356</f>
        <v>142</v>
      </c>
      <c r="M356" s="10"/>
      <c r="N356" s="9" t="s">
        <v>606</v>
      </c>
      <c r="O356" s="26" t="s">
        <v>606</v>
      </c>
    </row>
    <row r="357" spans="1:28" ht="30" customHeight="1" x14ac:dyDescent="0.3">
      <c r="A357" s="10" t="s">
        <v>677</v>
      </c>
      <c r="B357" s="10" t="s">
        <v>677</v>
      </c>
      <c r="C357" s="10" t="s">
        <v>677</v>
      </c>
      <c r="D357" s="10" t="s">
        <v>677</v>
      </c>
      <c r="E357" s="10" t="s">
        <v>677</v>
      </c>
      <c r="F357" s="10" t="s">
        <v>677</v>
      </c>
      <c r="G357" s="10" t="s">
        <v>677</v>
      </c>
      <c r="H357" s="10" t="s">
        <v>677</v>
      </c>
      <c r="I357" s="10" t="s">
        <v>677</v>
      </c>
      <c r="J357" s="10" t="s">
        <v>677</v>
      </c>
      <c r="K357" s="10" t="s">
        <v>677</v>
      </c>
      <c r="L357" s="10" t="s">
        <v>677</v>
      </c>
      <c r="M357" s="10" t="s">
        <v>677</v>
      </c>
    </row>
  </sheetData>
  <mergeCells count="84">
    <mergeCell ref="A336:M336"/>
    <mergeCell ref="A349:M349"/>
    <mergeCell ref="A354:M35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A5:M5"/>
    <mergeCell ref="A12:M12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18:M18"/>
    <mergeCell ref="A26:M26"/>
    <mergeCell ref="A31:M31"/>
    <mergeCell ref="A37:M37"/>
    <mergeCell ref="A44:M44"/>
    <mergeCell ref="A50:M50"/>
    <mergeCell ref="A55:M55"/>
    <mergeCell ref="A64:M64"/>
    <mergeCell ref="A71:M71"/>
    <mergeCell ref="A77:M77"/>
    <mergeCell ref="A82:M82"/>
    <mergeCell ref="A87:M87"/>
    <mergeCell ref="A92:M92"/>
    <mergeCell ref="A99:M99"/>
    <mergeCell ref="A104:M104"/>
    <mergeCell ref="A109:M109"/>
    <mergeCell ref="A114:M114"/>
    <mergeCell ref="A120:M120"/>
    <mergeCell ref="A127:M127"/>
    <mergeCell ref="A137:M137"/>
    <mergeCell ref="A143:M143"/>
    <mergeCell ref="A148:M148"/>
    <mergeCell ref="A152:M152"/>
    <mergeCell ref="A156:M156"/>
    <mergeCell ref="A160:M160"/>
    <mergeCell ref="A167:M167"/>
    <mergeCell ref="A174:M174"/>
    <mergeCell ref="A179:M179"/>
    <mergeCell ref="A185:M185"/>
    <mergeCell ref="A193:M193"/>
    <mergeCell ref="A197:M197"/>
    <mergeCell ref="A204:M204"/>
    <mergeCell ref="A210:M210"/>
    <mergeCell ref="A217:M217"/>
    <mergeCell ref="A224:M224"/>
    <mergeCell ref="A231:M231"/>
    <mergeCell ref="A238:M238"/>
    <mergeCell ref="A245:M245"/>
    <mergeCell ref="A249:M249"/>
    <mergeCell ref="A256:M256"/>
    <mergeCell ref="A263:M263"/>
    <mergeCell ref="A270:M270"/>
    <mergeCell ref="A277:M277"/>
    <mergeCell ref="A281:M281"/>
    <mergeCell ref="A285:M285"/>
    <mergeCell ref="A289:M289"/>
    <mergeCell ref="A295:M295"/>
    <mergeCell ref="A301:M301"/>
    <mergeCell ref="A331:M331"/>
    <mergeCell ref="A309:M309"/>
    <mergeCell ref="A315:M315"/>
    <mergeCell ref="A320:M320"/>
    <mergeCell ref="A326:M326"/>
  </mergeCells>
  <phoneticPr fontId="12" type="noConversion"/>
  <pageMargins left="0.78740157480314954" right="0" top="0.39370078740157477" bottom="0.37735849056603776" header="0" footer="0"/>
  <pageSetup paperSize="9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K7"/>
  <sheetViews>
    <sheetView view="pageBreakPreview" topLeftCell="B1" zoomScale="60" zoomScaleNormal="100" workbookViewId="0">
      <selection activeCell="H13" sqref="H13"/>
    </sheetView>
  </sheetViews>
  <sheetFormatPr defaultColWidth="9.125" defaultRowHeight="16.5" x14ac:dyDescent="0.3"/>
  <cols>
    <col min="1" max="1" width="9.125" hidden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9.125" hidden="1"/>
  </cols>
  <sheetData>
    <row r="1" spans="1:11" ht="30" customHeight="1" x14ac:dyDescent="0.3">
      <c r="A1" s="84" t="s">
        <v>558</v>
      </c>
      <c r="B1" s="84"/>
      <c r="C1" s="84"/>
      <c r="D1" s="84"/>
      <c r="E1" s="84"/>
      <c r="F1" s="84"/>
      <c r="G1" s="84"/>
      <c r="H1" s="84"/>
      <c r="I1" s="84"/>
      <c r="J1" s="84"/>
    </row>
    <row r="2" spans="1:11" ht="30" customHeight="1" x14ac:dyDescent="0.3">
      <c r="A2" s="85" t="s">
        <v>1218</v>
      </c>
      <c r="B2" s="85"/>
      <c r="C2" s="85"/>
      <c r="D2" s="85"/>
      <c r="E2" s="85"/>
      <c r="F2" s="85"/>
      <c r="G2" s="85"/>
      <c r="H2" s="85"/>
      <c r="I2" s="85"/>
      <c r="J2" s="85"/>
    </row>
    <row r="3" spans="1:11" ht="30" customHeight="1" x14ac:dyDescent="0.3">
      <c r="A3" s="20" t="s">
        <v>975</v>
      </c>
      <c r="B3" s="20" t="s">
        <v>265</v>
      </c>
      <c r="C3" s="20" t="s">
        <v>3</v>
      </c>
      <c r="D3" s="20" t="s">
        <v>812</v>
      </c>
      <c r="E3" s="20" t="s">
        <v>871</v>
      </c>
      <c r="F3" s="20" t="s">
        <v>259</v>
      </c>
      <c r="G3" s="20" t="s">
        <v>197</v>
      </c>
      <c r="H3" s="20" t="s">
        <v>940</v>
      </c>
      <c r="I3" s="20" t="s">
        <v>804</v>
      </c>
      <c r="J3" s="20" t="s">
        <v>952</v>
      </c>
    </row>
    <row r="4" spans="1:11" ht="30" customHeight="1" x14ac:dyDescent="0.3">
      <c r="A4" s="10" t="s">
        <v>758</v>
      </c>
      <c r="B4" s="10" t="s">
        <v>117</v>
      </c>
      <c r="C4" s="10" t="s">
        <v>914</v>
      </c>
      <c r="D4" s="10" t="s">
        <v>71</v>
      </c>
      <c r="E4" s="27">
        <v>386</v>
      </c>
      <c r="F4" s="27">
        <v>865</v>
      </c>
      <c r="G4" s="27">
        <v>287</v>
      </c>
      <c r="H4" s="18">
        <f>SUM(E4:G4)</f>
        <v>1538</v>
      </c>
      <c r="I4" s="10" t="s">
        <v>387</v>
      </c>
      <c r="J4" s="10"/>
      <c r="K4" s="25" t="s">
        <v>758</v>
      </c>
    </row>
    <row r="5" spans="1:11" ht="30" customHeight="1" x14ac:dyDescent="0.3">
      <c r="A5" s="10" t="s">
        <v>570</v>
      </c>
      <c r="B5" s="10" t="s">
        <v>373</v>
      </c>
      <c r="C5" s="10" t="s">
        <v>986</v>
      </c>
      <c r="D5" s="10" t="s">
        <v>71</v>
      </c>
      <c r="E5" s="27">
        <v>425</v>
      </c>
      <c r="F5" s="27">
        <v>813</v>
      </c>
      <c r="G5" s="27">
        <v>379</v>
      </c>
      <c r="H5" s="18">
        <f>SUM(E5:G5)</f>
        <v>1617</v>
      </c>
      <c r="I5" s="10" t="s">
        <v>356</v>
      </c>
      <c r="J5" s="10"/>
      <c r="K5" s="25" t="s">
        <v>570</v>
      </c>
    </row>
    <row r="6" spans="1:11" ht="30" customHeight="1" x14ac:dyDescent="0.3">
      <c r="A6" s="10" t="s">
        <v>72</v>
      </c>
      <c r="B6" s="10" t="s">
        <v>685</v>
      </c>
      <c r="C6" s="10" t="s">
        <v>671</v>
      </c>
      <c r="D6" s="10" t="s">
        <v>71</v>
      </c>
      <c r="E6" s="27">
        <v>607</v>
      </c>
      <c r="F6" s="27">
        <v>7812</v>
      </c>
      <c r="G6" s="27">
        <v>384</v>
      </c>
      <c r="H6" s="18">
        <f>SUM(E6:G6)</f>
        <v>8803</v>
      </c>
      <c r="I6" s="10" t="s">
        <v>170</v>
      </c>
      <c r="J6" s="10"/>
      <c r="K6" s="25" t="s">
        <v>72</v>
      </c>
    </row>
    <row r="7" spans="1:11" ht="30" customHeight="1" x14ac:dyDescent="0.3">
      <c r="A7" s="10" t="s">
        <v>793</v>
      </c>
      <c r="B7" s="10" t="s">
        <v>73</v>
      </c>
      <c r="C7" s="10" t="s">
        <v>802</v>
      </c>
      <c r="D7" s="10" t="s">
        <v>71</v>
      </c>
      <c r="E7" s="27">
        <v>3873</v>
      </c>
      <c r="F7" s="27">
        <v>4776</v>
      </c>
      <c r="G7" s="27">
        <v>1928</v>
      </c>
      <c r="H7" s="18">
        <f>SUM(E7:G7)</f>
        <v>10577</v>
      </c>
      <c r="I7" s="10" t="s">
        <v>694</v>
      </c>
      <c r="J7" s="10"/>
      <c r="K7" s="25" t="s">
        <v>793</v>
      </c>
    </row>
  </sheetData>
  <mergeCells count="2">
    <mergeCell ref="A1:J1"/>
    <mergeCell ref="A2:J2"/>
  </mergeCells>
  <phoneticPr fontId="12" type="noConversion"/>
  <pageMargins left="0.78740157480314954" right="0" top="0.39370078740157477" bottom="0.37735849056603776" header="0" footer="0"/>
  <pageSetup paperSize="9" scale="8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I105"/>
  <sheetViews>
    <sheetView view="pageBreakPreview" zoomScale="60" zoomScaleNormal="100" workbookViewId="0">
      <selection activeCell="D35" sqref="D35"/>
    </sheetView>
  </sheetViews>
  <sheetFormatPr defaultColWidth="9.125" defaultRowHeight="16.5" x14ac:dyDescent="0.3"/>
  <cols>
    <col min="1" max="1" width="77.625" customWidth="1"/>
    <col min="2" max="5" width="13.625" customWidth="1"/>
    <col min="6" max="6" width="12.625" customWidth="1"/>
    <col min="7" max="9" width="9.125" hidden="1"/>
  </cols>
  <sheetData>
    <row r="1" spans="1:8" ht="30" customHeight="1" x14ac:dyDescent="0.3">
      <c r="A1" s="84" t="s">
        <v>221</v>
      </c>
      <c r="B1" s="84"/>
      <c r="C1" s="84"/>
      <c r="D1" s="84"/>
      <c r="E1" s="84"/>
      <c r="F1" s="84"/>
    </row>
    <row r="2" spans="1:8" ht="30" customHeight="1" x14ac:dyDescent="0.3">
      <c r="A2" s="85" t="s">
        <v>1218</v>
      </c>
      <c r="B2" s="85"/>
      <c r="C2" s="85"/>
      <c r="D2" s="85"/>
      <c r="E2" s="85"/>
      <c r="F2" s="85"/>
    </row>
    <row r="3" spans="1:8" ht="30" customHeight="1" x14ac:dyDescent="0.3">
      <c r="A3" s="20" t="s">
        <v>536</v>
      </c>
      <c r="B3" s="20" t="s">
        <v>871</v>
      </c>
      <c r="C3" s="20" t="s">
        <v>259</v>
      </c>
      <c r="D3" s="20" t="s">
        <v>378</v>
      </c>
      <c r="E3" s="20" t="s">
        <v>505</v>
      </c>
      <c r="F3" s="20" t="s">
        <v>405</v>
      </c>
    </row>
    <row r="4" spans="1:8" ht="19.5" customHeight="1" x14ac:dyDescent="0.3">
      <c r="A4" s="5" t="s">
        <v>456</v>
      </c>
      <c r="B4" s="15">
        <v>0</v>
      </c>
      <c r="C4" s="15">
        <v>0</v>
      </c>
      <c r="D4" s="15">
        <v>0</v>
      </c>
      <c r="E4" s="15">
        <f t="shared" ref="E4:E35" si="0" xml:space="preserve"> SUM(B4:D4)</f>
        <v>0</v>
      </c>
      <c r="F4" s="5" t="s">
        <v>677</v>
      </c>
      <c r="G4" s="25" t="s">
        <v>758</v>
      </c>
      <c r="H4" s="7" t="s">
        <v>677</v>
      </c>
    </row>
    <row r="5" spans="1:8" ht="19.5" customHeight="1" x14ac:dyDescent="0.3">
      <c r="A5" s="16" t="s">
        <v>600</v>
      </c>
      <c r="B5" s="4">
        <v>0</v>
      </c>
      <c r="C5" s="4">
        <v>0</v>
      </c>
      <c r="D5" s="4">
        <v>0</v>
      </c>
      <c r="E5" s="4">
        <f t="shared" si="0"/>
        <v>0</v>
      </c>
      <c r="F5" s="16"/>
      <c r="G5" s="25" t="s">
        <v>758</v>
      </c>
      <c r="H5" s="7" t="s">
        <v>41</v>
      </c>
    </row>
    <row r="6" spans="1:8" ht="19.5" customHeight="1" x14ac:dyDescent="0.3">
      <c r="A6" s="16" t="s">
        <v>927</v>
      </c>
      <c r="B6" s="4">
        <v>0</v>
      </c>
      <c r="C6" s="4">
        <v>0</v>
      </c>
      <c r="D6" s="4">
        <v>0</v>
      </c>
      <c r="E6" s="4">
        <f t="shared" si="0"/>
        <v>0</v>
      </c>
      <c r="F6" s="16"/>
      <c r="G6" s="25" t="s">
        <v>758</v>
      </c>
      <c r="H6" s="7" t="s">
        <v>156</v>
      </c>
    </row>
    <row r="7" spans="1:8" ht="19.5" customHeight="1" x14ac:dyDescent="0.3">
      <c r="A7" s="16" t="s">
        <v>153</v>
      </c>
      <c r="B7" s="4">
        <v>0</v>
      </c>
      <c r="C7" s="4">
        <v>0</v>
      </c>
      <c r="D7" s="4">
        <v>0</v>
      </c>
      <c r="E7" s="4">
        <f t="shared" si="0"/>
        <v>0</v>
      </c>
      <c r="F7" s="16"/>
      <c r="G7" s="25" t="s">
        <v>758</v>
      </c>
      <c r="H7" s="7" t="s">
        <v>366</v>
      </c>
    </row>
    <row r="8" spans="1:8" ht="19.5" customHeight="1" x14ac:dyDescent="0.3">
      <c r="A8" s="16" t="s">
        <v>293</v>
      </c>
      <c r="B8" s="4">
        <v>0</v>
      </c>
      <c r="C8" s="4">
        <v>0</v>
      </c>
      <c r="D8" s="4">
        <v>0</v>
      </c>
      <c r="E8" s="4">
        <f t="shared" si="0"/>
        <v>0</v>
      </c>
      <c r="F8" s="16"/>
      <c r="G8" s="25" t="s">
        <v>758</v>
      </c>
      <c r="H8" s="7" t="s">
        <v>663</v>
      </c>
    </row>
    <row r="9" spans="1:8" ht="19.5" customHeight="1" x14ac:dyDescent="0.3">
      <c r="A9" s="16" t="s">
        <v>5</v>
      </c>
      <c r="B9" s="4">
        <v>0</v>
      </c>
      <c r="C9" s="4">
        <v>0</v>
      </c>
      <c r="D9" s="4">
        <v>0</v>
      </c>
      <c r="E9" s="4">
        <f t="shared" si="0"/>
        <v>0</v>
      </c>
      <c r="F9" s="16"/>
      <c r="G9" s="25" t="s">
        <v>758</v>
      </c>
      <c r="H9" s="7" t="s">
        <v>551</v>
      </c>
    </row>
    <row r="10" spans="1:8" ht="19.5" customHeight="1" x14ac:dyDescent="0.3">
      <c r="A10" s="16" t="s">
        <v>545</v>
      </c>
      <c r="B10" s="4">
        <v>0</v>
      </c>
      <c r="C10" s="4">
        <v>0</v>
      </c>
      <c r="D10" s="4">
        <v>0</v>
      </c>
      <c r="E10" s="4">
        <f t="shared" si="0"/>
        <v>0</v>
      </c>
      <c r="F10" s="16"/>
      <c r="G10" s="25" t="s">
        <v>758</v>
      </c>
      <c r="H10" s="7" t="s">
        <v>621</v>
      </c>
    </row>
    <row r="11" spans="1:8" ht="19.5" customHeight="1" x14ac:dyDescent="0.3">
      <c r="A11" s="16" t="s">
        <v>320</v>
      </c>
      <c r="B11" s="4">
        <v>0</v>
      </c>
      <c r="C11" s="4">
        <v>0</v>
      </c>
      <c r="D11" s="4">
        <v>0</v>
      </c>
      <c r="E11" s="4">
        <f t="shared" si="0"/>
        <v>0</v>
      </c>
      <c r="F11" s="16"/>
      <c r="G11" s="25" t="s">
        <v>758</v>
      </c>
      <c r="H11" s="7" t="s">
        <v>436</v>
      </c>
    </row>
    <row r="12" spans="1:8" ht="19.5" customHeight="1" x14ac:dyDescent="0.3">
      <c r="A12" s="102" t="str">
        <f>"'재료비:' "&amp;TEXT(일위대가목록!E40, "#,##0.0")&amp;"/55.44= "&amp;TEXT(B12, "#,##0;-#,##0;#")&amp;""</f>
        <v>'재료비:' 21,410.0/55.44= 386</v>
      </c>
      <c r="B12" s="6">
        <f>TRUNC(일위대가목록!E40/55.44, 0)</f>
        <v>386</v>
      </c>
      <c r="C12" s="4">
        <v>0</v>
      </c>
      <c r="D12" s="4">
        <v>0</v>
      </c>
      <c r="E12" s="4">
        <f t="shared" si="0"/>
        <v>386</v>
      </c>
      <c r="F12" s="16"/>
      <c r="G12" s="25" t="s">
        <v>758</v>
      </c>
      <c r="H12" s="7" t="s">
        <v>231</v>
      </c>
    </row>
    <row r="13" spans="1:8" ht="19.5" customHeight="1" x14ac:dyDescent="0.3">
      <c r="A13" s="102" t="str">
        <f>"'노무비:' "&amp;TEXT(일위대가목록!F40, "#,##0.0")&amp;"/55.44= "&amp;TEXT(C13, "#,##0;-#,##0;#")&amp;""</f>
        <v>'노무비:' 47,967.0/55.44= 865</v>
      </c>
      <c r="B13" s="4">
        <v>0</v>
      </c>
      <c r="C13" s="6">
        <f>TRUNC(일위대가목록!F40/55.44, 0)</f>
        <v>865</v>
      </c>
      <c r="D13" s="4">
        <v>0</v>
      </c>
      <c r="E13" s="4">
        <f t="shared" si="0"/>
        <v>865</v>
      </c>
      <c r="F13" s="16"/>
      <c r="G13" s="25" t="s">
        <v>758</v>
      </c>
      <c r="H13" s="7" t="s">
        <v>433</v>
      </c>
    </row>
    <row r="14" spans="1:8" ht="19.5" customHeight="1" x14ac:dyDescent="0.3">
      <c r="A14" s="102" t="str">
        <f>"'경비:' "&amp;TEXT(일위대가목록!G40, "#,##0.0")&amp;"/55.44= "&amp;TEXT(D14, "#,##0;-#,##0;#")&amp;""</f>
        <v>'경비:' 15,965.0/55.44= 287</v>
      </c>
      <c r="B14" s="4">
        <v>0</v>
      </c>
      <c r="C14" s="4">
        <v>0</v>
      </c>
      <c r="D14" s="6">
        <f>TRUNC(일위대가목록!G40/55.44, 0)</f>
        <v>287</v>
      </c>
      <c r="E14" s="4">
        <f t="shared" si="0"/>
        <v>287</v>
      </c>
      <c r="F14" s="16"/>
      <c r="G14" s="25" t="s">
        <v>758</v>
      </c>
      <c r="H14" s="7" t="s">
        <v>538</v>
      </c>
    </row>
    <row r="15" spans="1:8" ht="19.5" customHeight="1" x14ac:dyDescent="0.3">
      <c r="A15" s="16" t="s">
        <v>938</v>
      </c>
      <c r="B15" s="6">
        <f>TRUNC(SUM(B5:B14), 0)</f>
        <v>386</v>
      </c>
      <c r="C15" s="6">
        <f>TRUNC(SUM(C5:C14), 0)</f>
        <v>865</v>
      </c>
      <c r="D15" s="6">
        <f>TRUNC(SUM(D5:D14), 0)</f>
        <v>287</v>
      </c>
      <c r="E15" s="4">
        <f t="shared" si="0"/>
        <v>1538</v>
      </c>
      <c r="F15" s="16"/>
      <c r="G15" s="25" t="s">
        <v>758</v>
      </c>
      <c r="H15" s="7" t="s">
        <v>654</v>
      </c>
    </row>
    <row r="16" spans="1:8" ht="19.5" customHeight="1" x14ac:dyDescent="0.3">
      <c r="A16" s="16" t="s">
        <v>704</v>
      </c>
      <c r="B16" s="6">
        <f>TRUNC(SUM(B15), 0)</f>
        <v>386</v>
      </c>
      <c r="C16" s="6">
        <f>TRUNC(SUM(C15), 0)</f>
        <v>865</v>
      </c>
      <c r="D16" s="6">
        <f>TRUNC(SUM(D15), 0)</f>
        <v>287</v>
      </c>
      <c r="E16" s="4">
        <f t="shared" si="0"/>
        <v>1538</v>
      </c>
      <c r="F16" s="16"/>
      <c r="G16" s="25" t="s">
        <v>758</v>
      </c>
      <c r="H16" s="7" t="s">
        <v>677</v>
      </c>
    </row>
    <row r="17" spans="1:8" ht="19.5" customHeight="1" x14ac:dyDescent="0.3">
      <c r="A17" s="5" t="s">
        <v>1015</v>
      </c>
      <c r="B17" s="15">
        <v>0</v>
      </c>
      <c r="C17" s="15">
        <v>0</v>
      </c>
      <c r="D17" s="15">
        <v>0</v>
      </c>
      <c r="E17" s="15">
        <f t="shared" si="0"/>
        <v>0</v>
      </c>
      <c r="F17" s="5" t="s">
        <v>677</v>
      </c>
      <c r="G17" s="25" t="s">
        <v>570</v>
      </c>
      <c r="H17" s="7" t="s">
        <v>677</v>
      </c>
    </row>
    <row r="18" spans="1:8" ht="19.5" customHeight="1" x14ac:dyDescent="0.3">
      <c r="A18" s="16" t="s">
        <v>702</v>
      </c>
      <c r="B18" s="4">
        <v>0</v>
      </c>
      <c r="C18" s="4">
        <v>0</v>
      </c>
      <c r="D18" s="4">
        <v>0</v>
      </c>
      <c r="E18" s="4">
        <f t="shared" si="0"/>
        <v>0</v>
      </c>
      <c r="F18" s="16"/>
      <c r="G18" s="25" t="s">
        <v>570</v>
      </c>
      <c r="H18" s="7" t="s">
        <v>824</v>
      </c>
    </row>
    <row r="19" spans="1:8" ht="19.5" customHeight="1" x14ac:dyDescent="0.3">
      <c r="A19" s="16" t="s">
        <v>19</v>
      </c>
      <c r="B19" s="4">
        <v>0</v>
      </c>
      <c r="C19" s="4">
        <v>0</v>
      </c>
      <c r="D19" s="4">
        <v>0</v>
      </c>
      <c r="E19" s="4">
        <f t="shared" si="0"/>
        <v>0</v>
      </c>
      <c r="F19" s="16"/>
      <c r="G19" s="25" t="s">
        <v>570</v>
      </c>
      <c r="H19" s="7" t="s">
        <v>288</v>
      </c>
    </row>
    <row r="20" spans="1:8" ht="19.5" customHeight="1" x14ac:dyDescent="0.3">
      <c r="A20" s="16" t="s">
        <v>425</v>
      </c>
      <c r="B20" s="4">
        <v>0</v>
      </c>
      <c r="C20" s="4">
        <v>0</v>
      </c>
      <c r="D20" s="4">
        <v>0</v>
      </c>
      <c r="E20" s="4">
        <f t="shared" si="0"/>
        <v>0</v>
      </c>
      <c r="F20" s="16"/>
      <c r="G20" s="25" t="s">
        <v>570</v>
      </c>
      <c r="H20" s="7" t="s">
        <v>319</v>
      </c>
    </row>
    <row r="21" spans="1:8" ht="19.5" customHeight="1" x14ac:dyDescent="0.3">
      <c r="A21" s="16" t="s">
        <v>39</v>
      </c>
      <c r="B21" s="4">
        <v>0</v>
      </c>
      <c r="C21" s="4">
        <v>0</v>
      </c>
      <c r="D21" s="4">
        <v>0</v>
      </c>
      <c r="E21" s="4">
        <f t="shared" si="0"/>
        <v>0</v>
      </c>
      <c r="F21" s="16"/>
      <c r="G21" s="25" t="s">
        <v>570</v>
      </c>
      <c r="H21" s="7" t="s">
        <v>476</v>
      </c>
    </row>
    <row r="22" spans="1:8" ht="19.5" customHeight="1" x14ac:dyDescent="0.3">
      <c r="A22" s="16" t="s">
        <v>13</v>
      </c>
      <c r="B22" s="4">
        <v>0</v>
      </c>
      <c r="C22" s="4">
        <v>0</v>
      </c>
      <c r="D22" s="4">
        <v>0</v>
      </c>
      <c r="E22" s="4">
        <f t="shared" si="0"/>
        <v>0</v>
      </c>
      <c r="F22" s="16"/>
      <c r="G22" s="25" t="s">
        <v>570</v>
      </c>
      <c r="H22" s="7" t="s">
        <v>800</v>
      </c>
    </row>
    <row r="23" spans="1:8" ht="19.5" customHeight="1" x14ac:dyDescent="0.3">
      <c r="A23" s="16" t="s">
        <v>943</v>
      </c>
      <c r="B23" s="4">
        <v>0</v>
      </c>
      <c r="C23" s="4">
        <v>0</v>
      </c>
      <c r="D23" s="4">
        <v>0</v>
      </c>
      <c r="E23" s="4">
        <f t="shared" si="0"/>
        <v>0</v>
      </c>
      <c r="F23" s="16"/>
      <c r="G23" s="25" t="s">
        <v>570</v>
      </c>
      <c r="H23" s="7" t="s">
        <v>454</v>
      </c>
    </row>
    <row r="24" spans="1:8" ht="19.5" customHeight="1" x14ac:dyDescent="0.3">
      <c r="A24" s="16" t="s">
        <v>137</v>
      </c>
      <c r="B24" s="4">
        <v>0</v>
      </c>
      <c r="C24" s="4">
        <v>0</v>
      </c>
      <c r="D24" s="4">
        <v>0</v>
      </c>
      <c r="E24" s="4">
        <f t="shared" si="0"/>
        <v>0</v>
      </c>
      <c r="F24" s="16"/>
      <c r="G24" s="25" t="s">
        <v>570</v>
      </c>
      <c r="H24" s="7" t="s">
        <v>755</v>
      </c>
    </row>
    <row r="25" spans="1:8" ht="19.5" customHeight="1" x14ac:dyDescent="0.3">
      <c r="A25" s="16" t="s">
        <v>174</v>
      </c>
      <c r="B25" s="4">
        <v>0</v>
      </c>
      <c r="C25" s="4">
        <v>0</v>
      </c>
      <c r="D25" s="4">
        <v>0</v>
      </c>
      <c r="E25" s="4">
        <f t="shared" si="0"/>
        <v>0</v>
      </c>
      <c r="F25" s="16"/>
      <c r="G25" s="25" t="s">
        <v>570</v>
      </c>
      <c r="H25" s="7" t="s">
        <v>436</v>
      </c>
    </row>
    <row r="26" spans="1:8" ht="19.5" customHeight="1" x14ac:dyDescent="0.3">
      <c r="A26" s="102" t="str">
        <f>"'재료비:' "&amp;TEXT(일위대가목록!E41, "#,##0.0")&amp;"/58.968= "&amp;TEXT(B26, "#,##0;-#,##0;#")&amp;""</f>
        <v>'재료비:' 25,087.0/58.968= 425</v>
      </c>
      <c r="B26" s="6">
        <f>TRUNC(일위대가목록!E41/58.968, 0)</f>
        <v>425</v>
      </c>
      <c r="C26" s="4">
        <v>0</v>
      </c>
      <c r="D26" s="4">
        <v>0</v>
      </c>
      <c r="E26" s="4">
        <f t="shared" si="0"/>
        <v>425</v>
      </c>
      <c r="F26" s="16"/>
      <c r="G26" s="25" t="s">
        <v>570</v>
      </c>
      <c r="H26" s="7" t="s">
        <v>821</v>
      </c>
    </row>
    <row r="27" spans="1:8" ht="19.5" customHeight="1" x14ac:dyDescent="0.3">
      <c r="A27" s="102" t="str">
        <f>"'노무비:' "&amp;TEXT(일위대가목록!F41, "#,##0.0")&amp;"/58.968= "&amp;TEXT(C27, "#,##0;-#,##0;#")&amp;""</f>
        <v>'노무비:' 47,967.0/58.968= 813</v>
      </c>
      <c r="B27" s="4">
        <v>0</v>
      </c>
      <c r="C27" s="6">
        <f>TRUNC(일위대가목록!F41/58.968, 0)</f>
        <v>813</v>
      </c>
      <c r="D27" s="4">
        <v>0</v>
      </c>
      <c r="E27" s="4">
        <f t="shared" si="0"/>
        <v>813</v>
      </c>
      <c r="F27" s="16"/>
      <c r="G27" s="25" t="s">
        <v>570</v>
      </c>
      <c r="H27" s="7" t="s">
        <v>1012</v>
      </c>
    </row>
    <row r="28" spans="1:8" ht="19.5" customHeight="1" x14ac:dyDescent="0.3">
      <c r="A28" s="102" t="str">
        <f>"'경비:' "&amp;TEXT(일위대가목록!G41, "#,##0.0")&amp;"/58.968= "&amp;TEXT(D28, "#,##0;-#,##0;#")&amp;""</f>
        <v>'경비:' 22,383.0/58.968= 379</v>
      </c>
      <c r="B28" s="4">
        <v>0</v>
      </c>
      <c r="C28" s="4">
        <v>0</v>
      </c>
      <c r="D28" s="6">
        <f>TRUNC(일위대가목록!G41/58.968, 0)</f>
        <v>379</v>
      </c>
      <c r="E28" s="4">
        <f t="shared" si="0"/>
        <v>379</v>
      </c>
      <c r="F28" s="16"/>
      <c r="G28" s="25" t="s">
        <v>570</v>
      </c>
      <c r="H28" s="7" t="s">
        <v>725</v>
      </c>
    </row>
    <row r="29" spans="1:8" ht="19.5" customHeight="1" x14ac:dyDescent="0.3">
      <c r="A29" s="16" t="s">
        <v>938</v>
      </c>
      <c r="B29" s="6">
        <f>TRUNC(SUM(B18:B28), 0)</f>
        <v>425</v>
      </c>
      <c r="C29" s="6">
        <f>TRUNC(SUM(C18:C28), 0)</f>
        <v>813</v>
      </c>
      <c r="D29" s="6">
        <f>TRUNC(SUM(D18:D28), 0)</f>
        <v>379</v>
      </c>
      <c r="E29" s="4">
        <f t="shared" si="0"/>
        <v>1617</v>
      </c>
      <c r="F29" s="16"/>
      <c r="G29" s="25" t="s">
        <v>570</v>
      </c>
      <c r="H29" s="7" t="s">
        <v>654</v>
      </c>
    </row>
    <row r="30" spans="1:8" ht="19.5" customHeight="1" x14ac:dyDescent="0.3">
      <c r="A30" s="16" t="s">
        <v>704</v>
      </c>
      <c r="B30" s="6">
        <f>TRUNC(SUM(B29), 0)</f>
        <v>425</v>
      </c>
      <c r="C30" s="6">
        <f>TRUNC(SUM(C29), 0)</f>
        <v>813</v>
      </c>
      <c r="D30" s="6">
        <f>TRUNC(SUM(D29), 0)</f>
        <v>379</v>
      </c>
      <c r="E30" s="4">
        <f t="shared" si="0"/>
        <v>1617</v>
      </c>
      <c r="F30" s="16"/>
      <c r="G30" s="25" t="s">
        <v>570</v>
      </c>
      <c r="H30" s="7" t="s">
        <v>677</v>
      </c>
    </row>
    <row r="31" spans="1:8" ht="19.5" customHeight="1" x14ac:dyDescent="0.3">
      <c r="A31" s="5" t="s">
        <v>488</v>
      </c>
      <c r="B31" s="15">
        <v>0</v>
      </c>
      <c r="C31" s="15">
        <v>0</v>
      </c>
      <c r="D31" s="15">
        <v>0</v>
      </c>
      <c r="E31" s="15">
        <f t="shared" si="0"/>
        <v>0</v>
      </c>
      <c r="F31" s="5" t="s">
        <v>677</v>
      </c>
      <c r="G31" s="25" t="s">
        <v>72</v>
      </c>
      <c r="H31" s="7" t="s">
        <v>677</v>
      </c>
    </row>
    <row r="32" spans="1:8" ht="19.5" customHeight="1" x14ac:dyDescent="0.3">
      <c r="A32" s="16" t="s">
        <v>455</v>
      </c>
      <c r="B32" s="4">
        <v>0</v>
      </c>
      <c r="C32" s="4">
        <v>0</v>
      </c>
      <c r="D32" s="4">
        <v>0</v>
      </c>
      <c r="E32" s="4">
        <f t="shared" si="0"/>
        <v>0</v>
      </c>
      <c r="F32" s="16"/>
      <c r="G32" s="25" t="s">
        <v>72</v>
      </c>
      <c r="H32" s="7" t="s">
        <v>193</v>
      </c>
    </row>
    <row r="33" spans="1:8" ht="19.5" customHeight="1" x14ac:dyDescent="0.3">
      <c r="A33" s="16" t="s">
        <v>987</v>
      </c>
      <c r="B33" s="4">
        <v>0</v>
      </c>
      <c r="C33" s="4">
        <v>0</v>
      </c>
      <c r="D33" s="4">
        <v>0</v>
      </c>
      <c r="E33" s="4">
        <f t="shared" si="0"/>
        <v>0</v>
      </c>
      <c r="F33" s="16"/>
      <c r="G33" s="25" t="s">
        <v>72</v>
      </c>
      <c r="H33" s="7" t="s">
        <v>790</v>
      </c>
    </row>
    <row r="34" spans="1:8" ht="19.5" customHeight="1" x14ac:dyDescent="0.3">
      <c r="A34" s="16" t="s">
        <v>539</v>
      </c>
      <c r="B34" s="4">
        <v>0</v>
      </c>
      <c r="C34" s="4">
        <v>0</v>
      </c>
      <c r="D34" s="4">
        <v>0</v>
      </c>
      <c r="E34" s="4">
        <f t="shared" si="0"/>
        <v>0</v>
      </c>
      <c r="F34" s="16"/>
      <c r="G34" s="25" t="s">
        <v>72</v>
      </c>
      <c r="H34" s="7" t="s">
        <v>435</v>
      </c>
    </row>
    <row r="35" spans="1:8" ht="19.5" customHeight="1" x14ac:dyDescent="0.3">
      <c r="A35" s="16" t="s">
        <v>544</v>
      </c>
      <c r="B35" s="4">
        <v>0</v>
      </c>
      <c r="C35" s="4">
        <v>0</v>
      </c>
      <c r="D35" s="4">
        <v>0</v>
      </c>
      <c r="E35" s="4">
        <f t="shared" si="0"/>
        <v>0</v>
      </c>
      <c r="F35" s="16"/>
      <c r="G35" s="25" t="s">
        <v>72</v>
      </c>
      <c r="H35" s="7" t="s">
        <v>1026</v>
      </c>
    </row>
    <row r="36" spans="1:8" ht="19.5" customHeight="1" x14ac:dyDescent="0.3">
      <c r="A36" s="16" t="s">
        <v>565</v>
      </c>
      <c r="B36" s="4">
        <v>0</v>
      </c>
      <c r="C36" s="4">
        <v>0</v>
      </c>
      <c r="D36" s="4">
        <v>0</v>
      </c>
      <c r="E36" s="4">
        <f t="shared" ref="E36:E67" si="1" xml:space="preserve"> SUM(B36:D36)</f>
        <v>0</v>
      </c>
      <c r="F36" s="16"/>
      <c r="G36" s="25" t="s">
        <v>72</v>
      </c>
      <c r="H36" s="7" t="s">
        <v>807</v>
      </c>
    </row>
    <row r="37" spans="1:8" ht="19.5" customHeight="1" x14ac:dyDescent="0.3">
      <c r="A37" s="16" t="s">
        <v>199</v>
      </c>
      <c r="B37" s="4">
        <v>0</v>
      </c>
      <c r="C37" s="4">
        <v>0</v>
      </c>
      <c r="D37" s="4">
        <v>0</v>
      </c>
      <c r="E37" s="4">
        <f t="shared" si="1"/>
        <v>0</v>
      </c>
      <c r="F37" s="16"/>
      <c r="G37" s="25" t="s">
        <v>72</v>
      </c>
      <c r="H37" s="7" t="s">
        <v>132</v>
      </c>
    </row>
    <row r="38" spans="1:8" ht="19.5" customHeight="1" x14ac:dyDescent="0.3">
      <c r="A38" s="16" t="s">
        <v>5</v>
      </c>
      <c r="B38" s="4">
        <v>0</v>
      </c>
      <c r="C38" s="4">
        <v>0</v>
      </c>
      <c r="D38" s="4">
        <v>0</v>
      </c>
      <c r="E38" s="4">
        <f t="shared" si="1"/>
        <v>0</v>
      </c>
      <c r="F38" s="16"/>
      <c r="G38" s="25" t="s">
        <v>72</v>
      </c>
      <c r="H38" s="7" t="s">
        <v>551</v>
      </c>
    </row>
    <row r="39" spans="1:8" ht="19.5" customHeight="1" x14ac:dyDescent="0.3">
      <c r="A39" s="16" t="s">
        <v>846</v>
      </c>
      <c r="B39" s="4">
        <v>0</v>
      </c>
      <c r="C39" s="4">
        <v>0</v>
      </c>
      <c r="D39" s="4">
        <v>0</v>
      </c>
      <c r="E39" s="4">
        <f t="shared" si="1"/>
        <v>0</v>
      </c>
      <c r="F39" s="16"/>
      <c r="G39" s="25" t="s">
        <v>72</v>
      </c>
      <c r="H39" s="7" t="s">
        <v>739</v>
      </c>
    </row>
    <row r="40" spans="1:8" ht="19.5" customHeight="1" x14ac:dyDescent="0.3">
      <c r="A40" s="16" t="s">
        <v>127</v>
      </c>
      <c r="B40" s="4">
        <v>0</v>
      </c>
      <c r="C40" s="4">
        <v>0</v>
      </c>
      <c r="D40" s="4">
        <v>0</v>
      </c>
      <c r="E40" s="4">
        <f t="shared" si="1"/>
        <v>0</v>
      </c>
      <c r="F40" s="16"/>
      <c r="G40" s="25" t="s">
        <v>72</v>
      </c>
      <c r="H40" s="7" t="s">
        <v>436</v>
      </c>
    </row>
    <row r="41" spans="1:8" ht="19.5" customHeight="1" x14ac:dyDescent="0.3">
      <c r="A41" s="102" t="str">
        <f>"'재료비:' "&amp;TEXT(일위대가목록!E41, "#,##0.0")&amp;"/80.85= "&amp;TEXT(B41, "#,##0;-#,##0;#")&amp;""</f>
        <v>'재료비:' 25,087.0/80.85= 310</v>
      </c>
      <c r="B41" s="6">
        <f>TRUNC(일위대가목록!E41/80.85, 0)</f>
        <v>310</v>
      </c>
      <c r="C41" s="4">
        <v>0</v>
      </c>
      <c r="D41" s="4">
        <v>0</v>
      </c>
      <c r="E41" s="4">
        <f t="shared" si="1"/>
        <v>310</v>
      </c>
      <c r="F41" s="16"/>
      <c r="G41" s="25" t="s">
        <v>72</v>
      </c>
      <c r="H41" s="7" t="s">
        <v>821</v>
      </c>
    </row>
    <row r="42" spans="1:8" ht="19.5" customHeight="1" x14ac:dyDescent="0.3">
      <c r="A42" s="102" t="str">
        <f>"'노무비:' "&amp;TEXT(일위대가목록!F41, "#,##0.0")&amp;"/80.85= "&amp;TEXT(C42, "#,##0;-#,##0;#")&amp;""</f>
        <v>'노무비:' 47,967.0/80.85= 593</v>
      </c>
      <c r="B42" s="4">
        <v>0</v>
      </c>
      <c r="C42" s="6">
        <f>TRUNC(일위대가목록!F41/80.85, 0)</f>
        <v>593</v>
      </c>
      <c r="D42" s="4">
        <v>0</v>
      </c>
      <c r="E42" s="4">
        <f t="shared" si="1"/>
        <v>593</v>
      </c>
      <c r="F42" s="16"/>
      <c r="G42" s="25" t="s">
        <v>72</v>
      </c>
      <c r="H42" s="7" t="s">
        <v>1012</v>
      </c>
    </row>
    <row r="43" spans="1:8" ht="19.5" customHeight="1" x14ac:dyDescent="0.3">
      <c r="A43" s="102" t="str">
        <f>"'경비:' "&amp;TEXT(일위대가목록!G41, "#,##0.0")&amp;"/80.85= "&amp;TEXT(D43, "#,##0;-#,##0;#")&amp;""</f>
        <v>'경비:' 22,383.0/80.85= 276</v>
      </c>
      <c r="B43" s="4">
        <v>0</v>
      </c>
      <c r="C43" s="4">
        <v>0</v>
      </c>
      <c r="D43" s="6">
        <f>TRUNC(일위대가목록!G41/80.85, 0)</f>
        <v>276</v>
      </c>
      <c r="E43" s="4">
        <f t="shared" si="1"/>
        <v>276</v>
      </c>
      <c r="F43" s="16"/>
      <c r="G43" s="25" t="s">
        <v>72</v>
      </c>
      <c r="H43" s="7" t="s">
        <v>725</v>
      </c>
    </row>
    <row r="44" spans="1:8" ht="19.5" customHeight="1" x14ac:dyDescent="0.3">
      <c r="A44" s="16" t="s">
        <v>938</v>
      </c>
      <c r="B44" s="6">
        <f>TRUNC(SUM(B32:B43), 0)</f>
        <v>310</v>
      </c>
      <c r="C44" s="6">
        <f>TRUNC(SUM(C32:C43), 0)</f>
        <v>593</v>
      </c>
      <c r="D44" s="6">
        <f>TRUNC(SUM(D32:D43), 0)</f>
        <v>276</v>
      </c>
      <c r="E44" s="4">
        <f t="shared" si="1"/>
        <v>1179</v>
      </c>
      <c r="F44" s="16"/>
      <c r="G44" s="25" t="s">
        <v>72</v>
      </c>
      <c r="H44" s="7" t="s">
        <v>654</v>
      </c>
    </row>
    <row r="45" spans="1:8" ht="19.5" customHeight="1" x14ac:dyDescent="0.3">
      <c r="A45" s="16" t="s">
        <v>763</v>
      </c>
      <c r="B45" s="4">
        <v>0</v>
      </c>
      <c r="C45" s="4">
        <v>0</v>
      </c>
      <c r="D45" s="4">
        <v>0</v>
      </c>
      <c r="E45" s="4">
        <f t="shared" si="1"/>
        <v>0</v>
      </c>
      <c r="F45" s="16"/>
      <c r="G45" s="25" t="s">
        <v>72</v>
      </c>
      <c r="H45" s="7" t="s">
        <v>152</v>
      </c>
    </row>
    <row r="46" spans="1:8" ht="19.5" customHeight="1" x14ac:dyDescent="0.3">
      <c r="A46" s="16" t="s">
        <v>447</v>
      </c>
      <c r="B46" s="4">
        <v>0</v>
      </c>
      <c r="C46" s="4">
        <v>0</v>
      </c>
      <c r="D46" s="4">
        <v>0</v>
      </c>
      <c r="E46" s="4">
        <f t="shared" si="1"/>
        <v>0</v>
      </c>
      <c r="F46" s="16"/>
      <c r="G46" s="25" t="s">
        <v>72</v>
      </c>
      <c r="H46" s="7" t="s">
        <v>348</v>
      </c>
    </row>
    <row r="47" spans="1:8" ht="19.5" customHeight="1" x14ac:dyDescent="0.3">
      <c r="A47" s="16" t="s">
        <v>675</v>
      </c>
      <c r="B47" s="4">
        <v>0</v>
      </c>
      <c r="C47" s="4">
        <v>0</v>
      </c>
      <c r="D47" s="4">
        <v>0</v>
      </c>
      <c r="E47" s="4">
        <f t="shared" si="1"/>
        <v>0</v>
      </c>
      <c r="F47" s="16"/>
      <c r="G47" s="25" t="s">
        <v>72</v>
      </c>
      <c r="H47" s="7" t="s">
        <v>218</v>
      </c>
    </row>
    <row r="48" spans="1:8" ht="19.5" customHeight="1" x14ac:dyDescent="0.3">
      <c r="A48" s="16" t="s">
        <v>487</v>
      </c>
      <c r="B48" s="4">
        <v>0</v>
      </c>
      <c r="C48" s="4">
        <v>0</v>
      </c>
      <c r="D48" s="4">
        <v>0</v>
      </c>
      <c r="E48" s="4">
        <f t="shared" si="1"/>
        <v>0</v>
      </c>
      <c r="F48" s="16"/>
      <c r="G48" s="25" t="s">
        <v>72</v>
      </c>
      <c r="H48" s="7" t="s">
        <v>535</v>
      </c>
    </row>
    <row r="49" spans="1:8" ht="19.5" customHeight="1" x14ac:dyDescent="0.3">
      <c r="A49" s="16" t="s">
        <v>544</v>
      </c>
      <c r="B49" s="4">
        <v>0</v>
      </c>
      <c r="C49" s="4">
        <v>0</v>
      </c>
      <c r="D49" s="4">
        <v>0</v>
      </c>
      <c r="E49" s="4">
        <f t="shared" si="1"/>
        <v>0</v>
      </c>
      <c r="F49" s="16"/>
      <c r="G49" s="25" t="s">
        <v>72</v>
      </c>
      <c r="H49" s="7" t="s">
        <v>1026</v>
      </c>
    </row>
    <row r="50" spans="1:8" ht="19.5" customHeight="1" x14ac:dyDescent="0.3">
      <c r="A50" s="16" t="s">
        <v>655</v>
      </c>
      <c r="B50" s="4">
        <v>0</v>
      </c>
      <c r="C50" s="4">
        <v>0</v>
      </c>
      <c r="D50" s="4">
        <v>0</v>
      </c>
      <c r="E50" s="4">
        <f t="shared" si="1"/>
        <v>0</v>
      </c>
      <c r="F50" s="16"/>
      <c r="G50" s="25" t="s">
        <v>72</v>
      </c>
      <c r="H50" s="7" t="s">
        <v>277</v>
      </c>
    </row>
    <row r="51" spans="1:8" ht="19.5" customHeight="1" x14ac:dyDescent="0.3">
      <c r="A51" s="16" t="s">
        <v>396</v>
      </c>
      <c r="B51" s="4">
        <v>0</v>
      </c>
      <c r="C51" s="4">
        <v>0</v>
      </c>
      <c r="D51" s="4">
        <v>0</v>
      </c>
      <c r="E51" s="4">
        <f t="shared" si="1"/>
        <v>0</v>
      </c>
      <c r="F51" s="16"/>
      <c r="G51" s="25" t="s">
        <v>72</v>
      </c>
      <c r="H51" s="7" t="s">
        <v>26</v>
      </c>
    </row>
    <row r="52" spans="1:8" ht="19.5" customHeight="1" x14ac:dyDescent="0.3">
      <c r="A52" s="16" t="s">
        <v>922</v>
      </c>
      <c r="B52" s="4">
        <v>0</v>
      </c>
      <c r="C52" s="4">
        <v>0</v>
      </c>
      <c r="D52" s="4">
        <v>0</v>
      </c>
      <c r="E52" s="4">
        <f t="shared" si="1"/>
        <v>0</v>
      </c>
      <c r="F52" s="16"/>
      <c r="G52" s="25" t="s">
        <v>72</v>
      </c>
      <c r="H52" s="7" t="s">
        <v>615</v>
      </c>
    </row>
    <row r="53" spans="1:8" ht="19.5" customHeight="1" x14ac:dyDescent="0.3">
      <c r="A53" s="16" t="s">
        <v>450</v>
      </c>
      <c r="B53" s="4">
        <v>0</v>
      </c>
      <c r="C53" s="4">
        <v>0</v>
      </c>
      <c r="D53" s="4">
        <v>0</v>
      </c>
      <c r="E53" s="4">
        <f t="shared" si="1"/>
        <v>0</v>
      </c>
      <c r="F53" s="16"/>
      <c r="G53" s="25" t="s">
        <v>72</v>
      </c>
      <c r="H53" s="7" t="s">
        <v>333</v>
      </c>
    </row>
    <row r="54" spans="1:8" ht="19.5" customHeight="1" x14ac:dyDescent="0.3">
      <c r="A54" s="102" t="str">
        <f>"'재료비:' "&amp;TEXT(일위대가목록!E45, "#,##0.0")&amp;"/4.3768= "&amp;TEXT(B54, "#,##0;-#,##0;#")&amp;""</f>
        <v>'재료비:' 1,301.0/4.3768= 297</v>
      </c>
      <c r="B54" s="6">
        <f>TRUNC(일위대가목록!E45/4.3768, 0)</f>
        <v>297</v>
      </c>
      <c r="C54" s="4">
        <v>0</v>
      </c>
      <c r="D54" s="4">
        <v>0</v>
      </c>
      <c r="E54" s="4">
        <f t="shared" si="1"/>
        <v>297</v>
      </c>
      <c r="F54" s="16"/>
      <c r="G54" s="25" t="s">
        <v>72</v>
      </c>
      <c r="H54" s="7" t="s">
        <v>1023</v>
      </c>
    </row>
    <row r="55" spans="1:8" ht="19.5" customHeight="1" x14ac:dyDescent="0.3">
      <c r="A55" s="102" t="str">
        <f>"'노무비:' "&amp;TEXT(일위대가목록!F45, "#,##0.0")&amp;"/4.3768= "&amp;TEXT(C55, "#,##0;-#,##0;#")&amp;""</f>
        <v>'노무비:' 31,597.0/4.3768= 7,219</v>
      </c>
      <c r="B55" s="4">
        <v>0</v>
      </c>
      <c r="C55" s="6">
        <f>TRUNC(일위대가목록!F45/4.3768, 0)</f>
        <v>7219</v>
      </c>
      <c r="D55" s="4">
        <v>0</v>
      </c>
      <c r="E55" s="4">
        <f t="shared" si="1"/>
        <v>7219</v>
      </c>
      <c r="F55" s="16"/>
      <c r="G55" s="25" t="s">
        <v>72</v>
      </c>
      <c r="H55" s="7" t="s">
        <v>786</v>
      </c>
    </row>
    <row r="56" spans="1:8" ht="19.5" customHeight="1" x14ac:dyDescent="0.3">
      <c r="A56" s="102" t="str">
        <f>"'경비:' "&amp;TEXT(일위대가목록!G45, "#,##0.0")&amp;"/4.3768= "&amp;TEXT(D56, "#,##0;-#,##0;#")&amp;""</f>
        <v>'경비:' 472.0/4.3768= 107</v>
      </c>
      <c r="B56" s="4">
        <v>0</v>
      </c>
      <c r="C56" s="4">
        <v>0</v>
      </c>
      <c r="D56" s="6">
        <f>TRUNC(일위대가목록!G45/4.3768, 0)</f>
        <v>107</v>
      </c>
      <c r="E56" s="4">
        <f t="shared" si="1"/>
        <v>107</v>
      </c>
      <c r="F56" s="16"/>
      <c r="G56" s="25" t="s">
        <v>72</v>
      </c>
      <c r="H56" s="7" t="s">
        <v>369</v>
      </c>
    </row>
    <row r="57" spans="1:8" ht="19.5" customHeight="1" x14ac:dyDescent="0.3">
      <c r="A57" s="16" t="s">
        <v>938</v>
      </c>
      <c r="B57" s="6">
        <f>TRUNC(SUM(B32:B56), 0)</f>
        <v>917</v>
      </c>
      <c r="C57" s="6">
        <f>TRUNC(SUM(C32:C56), 0)</f>
        <v>8405</v>
      </c>
      <c r="D57" s="6">
        <f>TRUNC(SUM(D32:D56), 0)</f>
        <v>659</v>
      </c>
      <c r="E57" s="4">
        <f t="shared" si="1"/>
        <v>9981</v>
      </c>
      <c r="F57" s="16"/>
      <c r="G57" s="25" t="s">
        <v>72</v>
      </c>
      <c r="H57" s="7" t="s">
        <v>654</v>
      </c>
    </row>
    <row r="58" spans="1:8" ht="19.5" customHeight="1" x14ac:dyDescent="0.3">
      <c r="A58" s="16" t="s">
        <v>704</v>
      </c>
      <c r="B58" s="6">
        <f>TRUNC(SUM(B44, B57), 0)</f>
        <v>1227</v>
      </c>
      <c r="C58" s="6">
        <f>TRUNC(SUM(C44, C57), 0)</f>
        <v>8998</v>
      </c>
      <c r="D58" s="6">
        <f>TRUNC(SUM(D44, D57), 0)</f>
        <v>935</v>
      </c>
      <c r="E58" s="4">
        <f t="shared" si="1"/>
        <v>11160</v>
      </c>
      <c r="F58" s="16"/>
      <c r="G58" s="25" t="s">
        <v>72</v>
      </c>
      <c r="H58" s="7" t="s">
        <v>677</v>
      </c>
    </row>
    <row r="59" spans="1:8" ht="19.5" customHeight="1" x14ac:dyDescent="0.3">
      <c r="A59" s="5" t="s">
        <v>640</v>
      </c>
      <c r="B59" s="15">
        <v>0</v>
      </c>
      <c r="C59" s="15">
        <v>0</v>
      </c>
      <c r="D59" s="15">
        <v>0</v>
      </c>
      <c r="E59" s="15">
        <f t="shared" si="1"/>
        <v>0</v>
      </c>
      <c r="F59" s="5" t="s">
        <v>677</v>
      </c>
      <c r="G59" s="25" t="s">
        <v>793</v>
      </c>
      <c r="H59" s="7" t="s">
        <v>677</v>
      </c>
    </row>
    <row r="60" spans="1:8" ht="19.5" customHeight="1" x14ac:dyDescent="0.3">
      <c r="A60" s="16" t="s">
        <v>1000</v>
      </c>
      <c r="B60" s="4">
        <v>0</v>
      </c>
      <c r="C60" s="4">
        <v>0</v>
      </c>
      <c r="D60" s="4">
        <v>0</v>
      </c>
      <c r="E60" s="4">
        <f t="shared" si="1"/>
        <v>0</v>
      </c>
      <c r="F60" s="16"/>
      <c r="G60" s="25" t="s">
        <v>793</v>
      </c>
      <c r="H60" s="7" t="s">
        <v>883</v>
      </c>
    </row>
    <row r="61" spans="1:8" ht="19.5" customHeight="1" x14ac:dyDescent="0.3">
      <c r="A61" s="16" t="s">
        <v>872</v>
      </c>
      <c r="B61" s="4">
        <v>0</v>
      </c>
      <c r="C61" s="4">
        <v>0</v>
      </c>
      <c r="D61" s="4">
        <v>0</v>
      </c>
      <c r="E61" s="4">
        <f t="shared" si="1"/>
        <v>0</v>
      </c>
      <c r="F61" s="16"/>
      <c r="G61" s="25" t="s">
        <v>793</v>
      </c>
      <c r="H61" s="7" t="s">
        <v>553</v>
      </c>
    </row>
    <row r="62" spans="1:8" ht="19.5" customHeight="1" x14ac:dyDescent="0.3">
      <c r="A62" s="16" t="s">
        <v>1044</v>
      </c>
      <c r="B62" s="4">
        <v>0</v>
      </c>
      <c r="C62" s="4">
        <v>0</v>
      </c>
      <c r="D62" s="4">
        <v>0</v>
      </c>
      <c r="E62" s="4">
        <f t="shared" si="1"/>
        <v>0</v>
      </c>
      <c r="F62" s="16"/>
      <c r="G62" s="25" t="s">
        <v>793</v>
      </c>
      <c r="H62" s="7" t="s">
        <v>411</v>
      </c>
    </row>
    <row r="63" spans="1:8" ht="19.5" customHeight="1" x14ac:dyDescent="0.3">
      <c r="A63" s="16" t="s">
        <v>677</v>
      </c>
      <c r="B63" s="4">
        <v>0</v>
      </c>
      <c r="C63" s="4">
        <v>0</v>
      </c>
      <c r="D63" s="4">
        <v>0</v>
      </c>
      <c r="E63" s="4">
        <f t="shared" si="1"/>
        <v>0</v>
      </c>
      <c r="F63" s="16"/>
      <c r="G63" s="25" t="s">
        <v>793</v>
      </c>
      <c r="H63" s="7" t="s">
        <v>677</v>
      </c>
    </row>
    <row r="64" spans="1:8" ht="19.5" customHeight="1" x14ac:dyDescent="0.3">
      <c r="A64" s="16" t="s">
        <v>437</v>
      </c>
      <c r="B64" s="4">
        <v>0</v>
      </c>
      <c r="C64" s="4">
        <v>0</v>
      </c>
      <c r="D64" s="4">
        <v>0</v>
      </c>
      <c r="E64" s="4">
        <f t="shared" si="1"/>
        <v>0</v>
      </c>
      <c r="F64" s="16"/>
      <c r="G64" s="25" t="s">
        <v>793</v>
      </c>
      <c r="H64" s="7" t="s">
        <v>86</v>
      </c>
    </row>
    <row r="65" spans="1:8" ht="19.5" customHeight="1" x14ac:dyDescent="0.3">
      <c r="A65" s="16" t="s">
        <v>935</v>
      </c>
      <c r="B65" s="4">
        <v>0</v>
      </c>
      <c r="C65" s="4">
        <v>0</v>
      </c>
      <c r="D65" s="4">
        <v>0</v>
      </c>
      <c r="E65" s="4">
        <f t="shared" si="1"/>
        <v>0</v>
      </c>
      <c r="F65" s="16"/>
      <c r="G65" s="25" t="s">
        <v>793</v>
      </c>
      <c r="H65" s="7" t="s">
        <v>808</v>
      </c>
    </row>
    <row r="66" spans="1:8" ht="19.5" customHeight="1" x14ac:dyDescent="0.3">
      <c r="A66" s="16" t="s">
        <v>69</v>
      </c>
      <c r="B66" s="4">
        <v>0</v>
      </c>
      <c r="C66" s="4">
        <v>0</v>
      </c>
      <c r="D66" s="4">
        <v>0</v>
      </c>
      <c r="E66" s="4">
        <f t="shared" si="1"/>
        <v>0</v>
      </c>
      <c r="F66" s="16"/>
      <c r="G66" s="25" t="s">
        <v>793</v>
      </c>
      <c r="H66" s="7" t="s">
        <v>817</v>
      </c>
    </row>
    <row r="67" spans="1:8" ht="19.5" customHeight="1" x14ac:dyDescent="0.3">
      <c r="A67" s="16" t="s">
        <v>601</v>
      </c>
      <c r="B67" s="4">
        <v>0</v>
      </c>
      <c r="C67" s="4">
        <v>0</v>
      </c>
      <c r="D67" s="4">
        <v>0</v>
      </c>
      <c r="E67" s="4">
        <f t="shared" si="1"/>
        <v>0</v>
      </c>
      <c r="F67" s="16"/>
      <c r="G67" s="25" t="s">
        <v>793</v>
      </c>
      <c r="H67" s="7" t="s">
        <v>945</v>
      </c>
    </row>
    <row r="68" spans="1:8" ht="19.5" customHeight="1" x14ac:dyDescent="0.3">
      <c r="A68" s="16" t="s">
        <v>562</v>
      </c>
      <c r="B68" s="4">
        <v>0</v>
      </c>
      <c r="C68" s="4">
        <v>0</v>
      </c>
      <c r="D68" s="4">
        <v>0</v>
      </c>
      <c r="E68" s="4">
        <f t="shared" ref="E68:E99" si="2" xml:space="preserve"> SUM(B68:D68)</f>
        <v>0</v>
      </c>
      <c r="F68" s="16"/>
      <c r="G68" s="25" t="s">
        <v>793</v>
      </c>
      <c r="H68" s="7" t="s">
        <v>1020</v>
      </c>
    </row>
    <row r="69" spans="1:8" ht="19.5" customHeight="1" x14ac:dyDescent="0.3">
      <c r="A69" s="16" t="s">
        <v>646</v>
      </c>
      <c r="B69" s="4">
        <v>0</v>
      </c>
      <c r="C69" s="4">
        <v>0</v>
      </c>
      <c r="D69" s="4">
        <v>0</v>
      </c>
      <c r="E69" s="4">
        <f t="shared" si="2"/>
        <v>0</v>
      </c>
      <c r="F69" s="16"/>
      <c r="G69" s="25" t="s">
        <v>793</v>
      </c>
      <c r="H69" s="7" t="s">
        <v>438</v>
      </c>
    </row>
    <row r="70" spans="1:8" ht="19.5" customHeight="1" x14ac:dyDescent="0.3">
      <c r="A70" s="16" t="s">
        <v>1004</v>
      </c>
      <c r="B70" s="4">
        <v>0</v>
      </c>
      <c r="C70" s="4">
        <v>0</v>
      </c>
      <c r="D70" s="4">
        <v>0</v>
      </c>
      <c r="E70" s="4">
        <f t="shared" si="2"/>
        <v>0</v>
      </c>
      <c r="F70" s="16"/>
      <c r="G70" s="25" t="s">
        <v>793</v>
      </c>
      <c r="H70" s="7" t="s">
        <v>134</v>
      </c>
    </row>
    <row r="71" spans="1:8" ht="19.5" customHeight="1" x14ac:dyDescent="0.3">
      <c r="A71" s="16" t="s">
        <v>520</v>
      </c>
      <c r="B71" s="4">
        <v>0</v>
      </c>
      <c r="C71" s="4">
        <v>0</v>
      </c>
      <c r="D71" s="4">
        <v>0</v>
      </c>
      <c r="E71" s="4">
        <f t="shared" si="2"/>
        <v>0</v>
      </c>
      <c r="F71" s="16"/>
      <c r="G71" s="25" t="s">
        <v>793</v>
      </c>
      <c r="H71" s="7" t="s">
        <v>273</v>
      </c>
    </row>
    <row r="72" spans="1:8" ht="19.5" customHeight="1" x14ac:dyDescent="0.3">
      <c r="A72" s="16" t="s">
        <v>586</v>
      </c>
      <c r="B72" s="4">
        <v>0</v>
      </c>
      <c r="C72" s="4">
        <v>0</v>
      </c>
      <c r="D72" s="4">
        <v>0</v>
      </c>
      <c r="E72" s="4">
        <f t="shared" si="2"/>
        <v>0</v>
      </c>
      <c r="F72" s="16"/>
      <c r="G72" s="25" t="s">
        <v>793</v>
      </c>
      <c r="H72" s="7" t="s">
        <v>649</v>
      </c>
    </row>
    <row r="73" spans="1:8" ht="19.5" customHeight="1" x14ac:dyDescent="0.3">
      <c r="A73" s="16" t="s">
        <v>999</v>
      </c>
      <c r="B73" s="4">
        <v>0</v>
      </c>
      <c r="C73" s="4">
        <v>0</v>
      </c>
      <c r="D73" s="4">
        <v>0</v>
      </c>
      <c r="E73" s="4">
        <f t="shared" si="2"/>
        <v>0</v>
      </c>
      <c r="F73" s="16"/>
      <c r="G73" s="25" t="s">
        <v>793</v>
      </c>
      <c r="H73" s="7" t="s">
        <v>916</v>
      </c>
    </row>
    <row r="74" spans="1:8" ht="19.5" customHeight="1" x14ac:dyDescent="0.3">
      <c r="A74" s="16" t="s">
        <v>842</v>
      </c>
      <c r="B74" s="4">
        <v>0</v>
      </c>
      <c r="C74" s="4">
        <v>0</v>
      </c>
      <c r="D74" s="4">
        <v>0</v>
      </c>
      <c r="E74" s="4">
        <f t="shared" si="2"/>
        <v>0</v>
      </c>
      <c r="F74" s="16"/>
      <c r="G74" s="25" t="s">
        <v>793</v>
      </c>
      <c r="H74" s="7" t="s">
        <v>588</v>
      </c>
    </row>
    <row r="75" spans="1:8" ht="19.5" customHeight="1" x14ac:dyDescent="0.3">
      <c r="A75" s="16" t="s">
        <v>446</v>
      </c>
      <c r="B75" s="4">
        <v>0</v>
      </c>
      <c r="C75" s="4">
        <v>0</v>
      </c>
      <c r="D75" s="4">
        <v>0</v>
      </c>
      <c r="E75" s="4">
        <f t="shared" si="2"/>
        <v>0</v>
      </c>
      <c r="F75" s="16"/>
      <c r="G75" s="25" t="s">
        <v>793</v>
      </c>
      <c r="H75" s="7" t="s">
        <v>550</v>
      </c>
    </row>
    <row r="76" spans="1:8" ht="19.5" customHeight="1" x14ac:dyDescent="0.3">
      <c r="A76" s="16" t="s">
        <v>1</v>
      </c>
      <c r="B76" s="4">
        <v>0</v>
      </c>
      <c r="C76" s="4">
        <v>0</v>
      </c>
      <c r="D76" s="4">
        <v>0</v>
      </c>
      <c r="E76" s="4">
        <f t="shared" si="2"/>
        <v>0</v>
      </c>
      <c r="F76" s="16"/>
      <c r="G76" s="25" t="s">
        <v>793</v>
      </c>
      <c r="H76" s="7" t="s">
        <v>44</v>
      </c>
    </row>
    <row r="77" spans="1:8" ht="19.5" customHeight="1" x14ac:dyDescent="0.3">
      <c r="A77" s="16" t="s">
        <v>611</v>
      </c>
      <c r="B77" s="4">
        <v>0</v>
      </c>
      <c r="C77" s="4">
        <v>0</v>
      </c>
      <c r="D77" s="4">
        <v>0</v>
      </c>
      <c r="E77" s="4">
        <f t="shared" si="2"/>
        <v>0</v>
      </c>
      <c r="F77" s="16"/>
      <c r="G77" s="25" t="s">
        <v>793</v>
      </c>
      <c r="H77" s="7" t="s">
        <v>110</v>
      </c>
    </row>
    <row r="78" spans="1:8" ht="19.5" customHeight="1" x14ac:dyDescent="0.3">
      <c r="A78" s="16" t="s">
        <v>718</v>
      </c>
      <c r="B78" s="4">
        <v>0</v>
      </c>
      <c r="C78" s="4">
        <v>0</v>
      </c>
      <c r="D78" s="4">
        <v>0</v>
      </c>
      <c r="E78" s="4">
        <f t="shared" si="2"/>
        <v>0</v>
      </c>
      <c r="F78" s="16"/>
      <c r="G78" s="25" t="s">
        <v>793</v>
      </c>
      <c r="H78" s="7" t="s">
        <v>375</v>
      </c>
    </row>
    <row r="79" spans="1:8" ht="19.5" customHeight="1" x14ac:dyDescent="0.3">
      <c r="A79" s="16" t="s">
        <v>784</v>
      </c>
      <c r="B79" s="4">
        <v>0</v>
      </c>
      <c r="C79" s="4">
        <v>0</v>
      </c>
      <c r="D79" s="4">
        <v>0</v>
      </c>
      <c r="E79" s="4">
        <f t="shared" si="2"/>
        <v>0</v>
      </c>
      <c r="F79" s="16"/>
      <c r="G79" s="25" t="s">
        <v>793</v>
      </c>
      <c r="H79" s="7" t="s">
        <v>16</v>
      </c>
    </row>
    <row r="80" spans="1:8" ht="19.5" customHeight="1" x14ac:dyDescent="0.3">
      <c r="A80" s="16" t="s">
        <v>620</v>
      </c>
      <c r="B80" s="4">
        <v>0</v>
      </c>
      <c r="C80" s="4">
        <v>0</v>
      </c>
      <c r="D80" s="4">
        <v>0</v>
      </c>
      <c r="E80" s="4">
        <f t="shared" si="2"/>
        <v>0</v>
      </c>
      <c r="F80" s="16"/>
      <c r="G80" s="25" t="s">
        <v>793</v>
      </c>
      <c r="H80" s="7" t="s">
        <v>942</v>
      </c>
    </row>
    <row r="81" spans="1:8" ht="19.5" customHeight="1" x14ac:dyDescent="0.3">
      <c r="A81" s="16" t="s">
        <v>677</v>
      </c>
      <c r="B81" s="4">
        <v>0</v>
      </c>
      <c r="C81" s="4">
        <v>0</v>
      </c>
      <c r="D81" s="4">
        <v>0</v>
      </c>
      <c r="E81" s="4">
        <f t="shared" si="2"/>
        <v>0</v>
      </c>
      <c r="F81" s="16"/>
      <c r="G81" s="25" t="s">
        <v>793</v>
      </c>
      <c r="H81" s="7" t="s">
        <v>677</v>
      </c>
    </row>
    <row r="82" spans="1:8" ht="19.5" customHeight="1" x14ac:dyDescent="0.3">
      <c r="A82" s="16" t="s">
        <v>53</v>
      </c>
      <c r="B82" s="4">
        <v>0</v>
      </c>
      <c r="C82" s="4">
        <v>0</v>
      </c>
      <c r="D82" s="4">
        <v>0</v>
      </c>
      <c r="E82" s="4">
        <f t="shared" si="2"/>
        <v>0</v>
      </c>
      <c r="F82" s="16"/>
      <c r="G82" s="25" t="s">
        <v>793</v>
      </c>
      <c r="H82" s="7" t="s">
        <v>331</v>
      </c>
    </row>
    <row r="83" spans="1:8" ht="19.5" customHeight="1" x14ac:dyDescent="0.3">
      <c r="A83" s="16" t="s">
        <v>23</v>
      </c>
      <c r="B83" s="4">
        <v>0</v>
      </c>
      <c r="C83" s="4">
        <v>0</v>
      </c>
      <c r="D83" s="4">
        <v>0</v>
      </c>
      <c r="E83" s="4">
        <f t="shared" si="2"/>
        <v>0</v>
      </c>
      <c r="F83" s="16"/>
      <c r="G83" s="25" t="s">
        <v>793</v>
      </c>
      <c r="H83" s="7" t="s">
        <v>907</v>
      </c>
    </row>
    <row r="84" spans="1:8" ht="19.5" customHeight="1" x14ac:dyDescent="0.3">
      <c r="A84" s="16" t="s">
        <v>932</v>
      </c>
      <c r="B84" s="4">
        <v>0</v>
      </c>
      <c r="C84" s="4">
        <v>0</v>
      </c>
      <c r="D84" s="4">
        <v>0</v>
      </c>
      <c r="E84" s="4">
        <f t="shared" si="2"/>
        <v>0</v>
      </c>
      <c r="F84" s="16"/>
      <c r="G84" s="25" t="s">
        <v>793</v>
      </c>
      <c r="H84" s="7" t="s">
        <v>773</v>
      </c>
    </row>
    <row r="85" spans="1:8" ht="19.5" customHeight="1" x14ac:dyDescent="0.3">
      <c r="A85" s="16" t="s">
        <v>486</v>
      </c>
      <c r="B85" s="4">
        <v>0</v>
      </c>
      <c r="C85" s="4">
        <v>0</v>
      </c>
      <c r="D85" s="4">
        <v>0</v>
      </c>
      <c r="E85" s="4">
        <f t="shared" si="2"/>
        <v>0</v>
      </c>
      <c r="F85" s="16"/>
      <c r="G85" s="25" t="s">
        <v>793</v>
      </c>
      <c r="H85" s="7" t="s">
        <v>347</v>
      </c>
    </row>
    <row r="86" spans="1:8" ht="19.5" customHeight="1" x14ac:dyDescent="0.3">
      <c r="A86" s="16" t="s">
        <v>284</v>
      </c>
      <c r="B86" s="4">
        <v>0</v>
      </c>
      <c r="C86" s="4">
        <v>0</v>
      </c>
      <c r="D86" s="4">
        <v>0</v>
      </c>
      <c r="E86" s="4">
        <f t="shared" si="2"/>
        <v>0</v>
      </c>
      <c r="F86" s="16"/>
      <c r="G86" s="25" t="s">
        <v>793</v>
      </c>
      <c r="H86" s="7" t="s">
        <v>627</v>
      </c>
    </row>
    <row r="87" spans="1:8" ht="19.5" customHeight="1" x14ac:dyDescent="0.3">
      <c r="A87" s="16" t="s">
        <v>677</v>
      </c>
      <c r="B87" s="4">
        <v>0</v>
      </c>
      <c r="C87" s="4">
        <v>0</v>
      </c>
      <c r="D87" s="4">
        <v>0</v>
      </c>
      <c r="E87" s="4">
        <f t="shared" si="2"/>
        <v>0</v>
      </c>
      <c r="F87" s="16"/>
      <c r="G87" s="25" t="s">
        <v>793</v>
      </c>
      <c r="H87" s="7" t="s">
        <v>677</v>
      </c>
    </row>
    <row r="88" spans="1:8" ht="19.5" customHeight="1" x14ac:dyDescent="0.3">
      <c r="A88" s="16" t="s">
        <v>741</v>
      </c>
      <c r="B88" s="4">
        <v>0</v>
      </c>
      <c r="C88" s="4">
        <v>0</v>
      </c>
      <c r="D88" s="4">
        <v>0</v>
      </c>
      <c r="E88" s="4">
        <f t="shared" si="2"/>
        <v>0</v>
      </c>
      <c r="F88" s="16"/>
      <c r="G88" s="25" t="s">
        <v>793</v>
      </c>
      <c r="H88" s="7" t="s">
        <v>993</v>
      </c>
    </row>
    <row r="89" spans="1:8" ht="19.5" customHeight="1" x14ac:dyDescent="0.3">
      <c r="A89" s="16" t="s">
        <v>567</v>
      </c>
      <c r="B89" s="4">
        <v>0</v>
      </c>
      <c r="C89" s="4">
        <v>0</v>
      </c>
      <c r="D89" s="4">
        <v>0</v>
      </c>
      <c r="E89" s="4">
        <f t="shared" si="2"/>
        <v>0</v>
      </c>
      <c r="F89" s="16"/>
      <c r="G89" s="25" t="s">
        <v>793</v>
      </c>
      <c r="H89" s="7" t="s">
        <v>672</v>
      </c>
    </row>
    <row r="90" spans="1:8" ht="19.5" customHeight="1" x14ac:dyDescent="0.3">
      <c r="A90" s="16" t="s">
        <v>597</v>
      </c>
      <c r="B90" s="4">
        <v>0</v>
      </c>
      <c r="C90" s="4">
        <v>0</v>
      </c>
      <c r="D90" s="4">
        <v>0</v>
      </c>
      <c r="E90" s="4">
        <f t="shared" si="2"/>
        <v>0</v>
      </c>
      <c r="F90" s="16"/>
      <c r="G90" s="25" t="s">
        <v>793</v>
      </c>
      <c r="H90" s="7" t="s">
        <v>625</v>
      </c>
    </row>
    <row r="91" spans="1:8" ht="19.5" customHeight="1" x14ac:dyDescent="0.3">
      <c r="A91" s="16" t="s">
        <v>583</v>
      </c>
      <c r="B91" s="4">
        <v>0</v>
      </c>
      <c r="C91" s="4">
        <v>0</v>
      </c>
      <c r="D91" s="4">
        <v>0</v>
      </c>
      <c r="E91" s="4">
        <f t="shared" si="2"/>
        <v>0</v>
      </c>
      <c r="F91" s="16"/>
      <c r="G91" s="25" t="s">
        <v>793</v>
      </c>
      <c r="H91" s="7" t="s">
        <v>1040</v>
      </c>
    </row>
    <row r="92" spans="1:8" ht="19.5" customHeight="1" x14ac:dyDescent="0.3">
      <c r="A92" s="16" t="s">
        <v>361</v>
      </c>
      <c r="B92" s="4">
        <v>0</v>
      </c>
      <c r="C92" s="4">
        <v>0</v>
      </c>
      <c r="D92" s="4">
        <v>0</v>
      </c>
      <c r="E92" s="4">
        <f t="shared" si="2"/>
        <v>0</v>
      </c>
      <c r="F92" s="16"/>
      <c r="G92" s="25" t="s">
        <v>793</v>
      </c>
      <c r="H92" s="7" t="s">
        <v>543</v>
      </c>
    </row>
    <row r="93" spans="1:8" ht="19.5" customHeight="1" x14ac:dyDescent="0.3">
      <c r="A93" s="102" t="str">
        <f>"'재료비:' "&amp;TEXT(일위대가목록!E42, "#,##0.0")&amp;"/10.0429= "&amp;TEXT(B93, "#,##0;-#,##0;#")&amp;""</f>
        <v>'재료비:' 38,897.0/10.0429= 3,873</v>
      </c>
      <c r="B93" s="6">
        <f>TRUNC(일위대가목록!E42/10.0429, 0)</f>
        <v>3873</v>
      </c>
      <c r="C93" s="4">
        <v>0</v>
      </c>
      <c r="D93" s="4">
        <v>0</v>
      </c>
      <c r="E93" s="4">
        <f t="shared" si="2"/>
        <v>3873</v>
      </c>
      <c r="F93" s="16"/>
      <c r="G93" s="25" t="s">
        <v>793</v>
      </c>
      <c r="H93" s="7" t="s">
        <v>831</v>
      </c>
    </row>
    <row r="94" spans="1:8" ht="19.5" customHeight="1" x14ac:dyDescent="0.3">
      <c r="A94" s="102" t="str">
        <f>"'노무비:' "&amp;TEXT(일위대가목록!F42, "#,##0.0")&amp;"/10.0429= "&amp;TEXT(C94, "#,##0;-#,##0;#")&amp;""</f>
        <v>'노무비:' 47,967.0/10.0429= 4,776</v>
      </c>
      <c r="B94" s="4">
        <v>0</v>
      </c>
      <c r="C94" s="6">
        <f>TRUNC(일위대가목록!F42/10.0429, 0)</f>
        <v>4776</v>
      </c>
      <c r="D94" s="4">
        <v>0</v>
      </c>
      <c r="E94" s="4">
        <f t="shared" si="2"/>
        <v>4776</v>
      </c>
      <c r="F94" s="16"/>
      <c r="G94" s="25" t="s">
        <v>793</v>
      </c>
      <c r="H94" s="7" t="s">
        <v>287</v>
      </c>
    </row>
    <row r="95" spans="1:8" ht="19.5" customHeight="1" x14ac:dyDescent="0.3">
      <c r="A95" s="102" t="str">
        <f>"'경비:' "&amp;TEXT(일위대가목록!G42, "#,##0.0")&amp;"/10.0429= "&amp;TEXT(D95, "#,##0;-#,##0;#")&amp;""</f>
        <v>'경비:' 18,972.0/10.0429= 1,889</v>
      </c>
      <c r="B95" s="4">
        <v>0</v>
      </c>
      <c r="C95" s="4">
        <v>0</v>
      </c>
      <c r="D95" s="6">
        <f>TRUNC(일위대가목록!G42/10.0429, 0)</f>
        <v>1889</v>
      </c>
      <c r="E95" s="4">
        <f t="shared" si="2"/>
        <v>1889</v>
      </c>
      <c r="F95" s="16"/>
      <c r="G95" s="25" t="s">
        <v>793</v>
      </c>
      <c r="H95" s="7" t="s">
        <v>820</v>
      </c>
    </row>
    <row r="96" spans="1:8" ht="19.5" customHeight="1" x14ac:dyDescent="0.3">
      <c r="A96" s="16" t="s">
        <v>938</v>
      </c>
      <c r="B96" s="6">
        <f>TRUNC(SUM(B60:B95), 0)</f>
        <v>3873</v>
      </c>
      <c r="C96" s="6">
        <f>TRUNC(SUM(C60:C95), 0)</f>
        <v>4776</v>
      </c>
      <c r="D96" s="6">
        <f>TRUNC(SUM(D60:D95), 0)</f>
        <v>1889</v>
      </c>
      <c r="E96" s="4">
        <f t="shared" si="2"/>
        <v>10538</v>
      </c>
      <c r="F96" s="16"/>
      <c r="G96" s="25" t="s">
        <v>793</v>
      </c>
      <c r="H96" s="7" t="s">
        <v>654</v>
      </c>
    </row>
    <row r="97" spans="1:8" ht="19.5" customHeight="1" x14ac:dyDescent="0.3">
      <c r="A97" s="16" t="s">
        <v>677</v>
      </c>
      <c r="B97" s="4">
        <v>0</v>
      </c>
      <c r="C97" s="4">
        <v>0</v>
      </c>
      <c r="D97" s="4">
        <v>0</v>
      </c>
      <c r="E97" s="4">
        <f t="shared" si="2"/>
        <v>0</v>
      </c>
      <c r="F97" s="16"/>
      <c r="G97" s="25" t="s">
        <v>793</v>
      </c>
      <c r="H97" s="7" t="s">
        <v>677</v>
      </c>
    </row>
    <row r="98" spans="1:8" ht="19.5" customHeight="1" x14ac:dyDescent="0.3">
      <c r="A98" s="16" t="s">
        <v>963</v>
      </c>
      <c r="B98" s="4">
        <v>0</v>
      </c>
      <c r="C98" s="4">
        <v>0</v>
      </c>
      <c r="D98" s="4">
        <v>0</v>
      </c>
      <c r="E98" s="4">
        <f t="shared" si="2"/>
        <v>0</v>
      </c>
      <c r="F98" s="16"/>
      <c r="G98" s="25" t="s">
        <v>793</v>
      </c>
      <c r="H98" s="7" t="s">
        <v>1047</v>
      </c>
    </row>
    <row r="99" spans="1:8" ht="19.5" customHeight="1" x14ac:dyDescent="0.3">
      <c r="A99" s="102" t="str">
        <f>"'재료비:' "&amp;TEXT(일위대가목록!E43, "#,##0.0")&amp;"/10.0429= "&amp;TEXT(B99, "#,##0;-#,##0;#")&amp;""</f>
        <v xml:space="preserve">'재료비:' 0.0/10.0429= </v>
      </c>
      <c r="B99" s="6">
        <f>TRUNC(일위대가목록!E43/10.0429, 0)</f>
        <v>0</v>
      </c>
      <c r="C99" s="4">
        <v>0</v>
      </c>
      <c r="D99" s="4">
        <v>0</v>
      </c>
      <c r="E99" s="4">
        <f t="shared" si="2"/>
        <v>0</v>
      </c>
      <c r="F99" s="16"/>
      <c r="G99" s="25" t="s">
        <v>793</v>
      </c>
      <c r="H99" s="7" t="s">
        <v>612</v>
      </c>
    </row>
    <row r="100" spans="1:8" ht="19.5" customHeight="1" x14ac:dyDescent="0.3">
      <c r="A100" s="102" t="str">
        <f>"'노무비:' "&amp;TEXT(일위대가목록!F43, "#,##0.0")&amp;"/10.0429= "&amp;TEXT(C100, "#,##0;-#,##0;#")&amp;""</f>
        <v xml:space="preserve">'노무비:' 0.0/10.0429= </v>
      </c>
      <c r="B100" s="4">
        <v>0</v>
      </c>
      <c r="C100" s="6">
        <f>TRUNC(일위대가목록!F43/10.0429, 0)</f>
        <v>0</v>
      </c>
      <c r="D100" s="4">
        <v>0</v>
      </c>
      <c r="E100" s="4">
        <f t="shared" ref="E100:E105" si="3" xml:space="preserve"> SUM(B100:D100)</f>
        <v>0</v>
      </c>
      <c r="F100" s="16"/>
      <c r="G100" s="25" t="s">
        <v>793</v>
      </c>
      <c r="H100" s="7" t="s">
        <v>226</v>
      </c>
    </row>
    <row r="101" spans="1:8" ht="19.5" customHeight="1" x14ac:dyDescent="0.3">
      <c r="A101" s="102" t="str">
        <f>"'경비:' "&amp;TEXT(일위대가목록!G43, "#,##0.0")&amp;"/10.0429= "&amp;TEXT(D101, "#,##0;-#,##0;#")&amp;""</f>
        <v>'경비:' 401.0/10.0429= 39</v>
      </c>
      <c r="B101" s="4">
        <v>0</v>
      </c>
      <c r="C101" s="4">
        <v>0</v>
      </c>
      <c r="D101" s="6">
        <f>TRUNC(일위대가목록!G43/10.0429, 0)</f>
        <v>39</v>
      </c>
      <c r="E101" s="4">
        <f t="shared" si="3"/>
        <v>39</v>
      </c>
      <c r="F101" s="16"/>
      <c r="G101" s="25" t="s">
        <v>793</v>
      </c>
      <c r="H101" s="7" t="s">
        <v>848</v>
      </c>
    </row>
    <row r="102" spans="1:8" ht="19.5" customHeight="1" x14ac:dyDescent="0.3">
      <c r="A102" s="16" t="s">
        <v>938</v>
      </c>
      <c r="B102" s="6">
        <f>TRUNC(SUM(B60:B101), 0)</f>
        <v>7746</v>
      </c>
      <c r="C102" s="6">
        <f>TRUNC(SUM(C60:C101), 0)</f>
        <v>9552</v>
      </c>
      <c r="D102" s="6">
        <f>TRUNC(SUM(D60:D101), 0)</f>
        <v>3817</v>
      </c>
      <c r="E102" s="4">
        <f t="shared" si="3"/>
        <v>21115</v>
      </c>
      <c r="F102" s="16"/>
      <c r="G102" s="25" t="s">
        <v>793</v>
      </c>
      <c r="H102" s="7" t="s">
        <v>654</v>
      </c>
    </row>
    <row r="103" spans="1:8" ht="19.5" customHeight="1" x14ac:dyDescent="0.3">
      <c r="A103" s="16" t="s">
        <v>677</v>
      </c>
      <c r="B103" s="4">
        <v>0</v>
      </c>
      <c r="C103" s="4">
        <v>0</v>
      </c>
      <c r="D103" s="4">
        <v>0</v>
      </c>
      <c r="E103" s="4">
        <f t="shared" si="3"/>
        <v>0</v>
      </c>
      <c r="F103" s="16"/>
      <c r="G103" s="25" t="s">
        <v>793</v>
      </c>
      <c r="H103" s="7" t="s">
        <v>677</v>
      </c>
    </row>
    <row r="104" spans="1:8" ht="19.5" customHeight="1" x14ac:dyDescent="0.3">
      <c r="A104" s="16" t="s">
        <v>677</v>
      </c>
      <c r="B104" s="4">
        <v>0</v>
      </c>
      <c r="C104" s="4">
        <v>0</v>
      </c>
      <c r="D104" s="4">
        <v>0</v>
      </c>
      <c r="E104" s="4">
        <f t="shared" si="3"/>
        <v>0</v>
      </c>
      <c r="F104" s="16"/>
      <c r="G104" s="25" t="s">
        <v>793</v>
      </c>
      <c r="H104" s="7" t="s">
        <v>677</v>
      </c>
    </row>
    <row r="105" spans="1:8" ht="19.5" customHeight="1" x14ac:dyDescent="0.3">
      <c r="A105" s="14" t="s">
        <v>704</v>
      </c>
      <c r="B105" s="13">
        <f>TRUNC(SUM(B96, B102), 0)</f>
        <v>11619</v>
      </c>
      <c r="C105" s="13">
        <f>TRUNC(SUM(C96, C102), 0)</f>
        <v>14328</v>
      </c>
      <c r="D105" s="13">
        <f>TRUNC(SUM(D96, D102), 0)</f>
        <v>5706</v>
      </c>
      <c r="E105" s="11">
        <f t="shared" si="3"/>
        <v>31653</v>
      </c>
      <c r="F105" s="14"/>
      <c r="G105" s="25" t="s">
        <v>793</v>
      </c>
      <c r="H105" s="7" t="s">
        <v>677</v>
      </c>
    </row>
  </sheetData>
  <mergeCells count="20">
    <mergeCell ref="A1:F1"/>
    <mergeCell ref="A2:F2"/>
    <mergeCell ref="A12"/>
    <mergeCell ref="A13"/>
    <mergeCell ref="A14"/>
    <mergeCell ref="A26"/>
    <mergeCell ref="A27"/>
    <mergeCell ref="A28"/>
    <mergeCell ref="A41"/>
    <mergeCell ref="A42"/>
    <mergeCell ref="A43"/>
    <mergeCell ref="A54"/>
    <mergeCell ref="A55"/>
    <mergeCell ref="A56"/>
    <mergeCell ref="A93"/>
    <mergeCell ref="A94"/>
    <mergeCell ref="A95"/>
    <mergeCell ref="A99"/>
    <mergeCell ref="A100"/>
    <mergeCell ref="A101"/>
  </mergeCells>
  <phoneticPr fontId="12" type="noConversion"/>
  <pageMargins left="0.78740157480314954" right="0" top="0.39370078740157477" bottom="0.37735849056603776" header="0" footer="0"/>
  <pageSetup paperSize="9" scale="8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AN94"/>
  <sheetViews>
    <sheetView view="pageBreakPreview" topLeftCell="B3" zoomScale="85" zoomScaleNormal="55" zoomScaleSheetLayoutView="85" workbookViewId="0">
      <selection activeCell="U15" sqref="U15"/>
    </sheetView>
  </sheetViews>
  <sheetFormatPr defaultColWidth="9.125" defaultRowHeight="16.5" x14ac:dyDescent="0.3"/>
  <cols>
    <col min="1" max="1" width="7.375" hidden="1" customWidth="1"/>
    <col min="2" max="2" width="29.625" customWidth="1"/>
    <col min="3" max="3" width="27.5" customWidth="1"/>
    <col min="4" max="4" width="5.5" customWidth="1"/>
    <col min="5" max="5" width="10.25" customWidth="1"/>
    <col min="6" max="6" width="6.625" customWidth="1"/>
    <col min="7" max="7" width="9.5" customWidth="1"/>
    <col min="8" max="8" width="6.625" customWidth="1"/>
    <col min="9" max="9" width="9.5" customWidth="1"/>
    <col min="10" max="10" width="6.625" customWidth="1"/>
    <col min="11" max="11" width="9.5" customWidth="1"/>
    <col min="12" max="12" width="6.625" customWidth="1"/>
    <col min="13" max="13" width="9.5" customWidth="1"/>
    <col min="14" max="14" width="6.625" customWidth="1"/>
    <col min="15" max="15" width="9.5" customWidth="1"/>
    <col min="16" max="16" width="6.625" customWidth="1"/>
    <col min="17" max="17" width="9.5" customWidth="1"/>
    <col min="18" max="18" width="6.625" customWidth="1"/>
    <col min="19" max="19" width="9.5" customWidth="1"/>
    <col min="20" max="20" width="6.625" customWidth="1"/>
    <col min="21" max="22" width="9.25" customWidth="1"/>
    <col min="23" max="23" width="10.25" customWidth="1"/>
    <col min="24" max="30" width="9.5" customWidth="1"/>
    <col min="31" max="31" width="9.25" customWidth="1"/>
    <col min="32" max="32" width="7.5" customWidth="1"/>
    <col min="33" max="33" width="6.75" customWidth="1"/>
    <col min="34" max="41" width="9.125" customWidth="1"/>
  </cols>
  <sheetData>
    <row r="1" spans="1:40" ht="30" customHeight="1" x14ac:dyDescent="0.3">
      <c r="A1" s="84" t="s">
        <v>964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</row>
    <row r="2" spans="1:40" ht="30" customHeight="1" x14ac:dyDescent="0.3">
      <c r="A2" s="85" t="s">
        <v>1218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</row>
    <row r="3" spans="1:40" ht="30" customHeight="1" x14ac:dyDescent="0.3">
      <c r="A3" s="92" t="s">
        <v>975</v>
      </c>
      <c r="B3" s="92" t="s">
        <v>886</v>
      </c>
      <c r="C3" s="92" t="s">
        <v>29</v>
      </c>
      <c r="D3" s="92" t="s">
        <v>812</v>
      </c>
      <c r="E3" s="86" t="s">
        <v>732</v>
      </c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8"/>
      <c r="V3" s="92" t="s">
        <v>259</v>
      </c>
      <c r="W3" s="86" t="s">
        <v>197</v>
      </c>
      <c r="X3" s="87"/>
      <c r="Y3" s="87"/>
      <c r="Z3" s="87"/>
      <c r="AA3" s="87"/>
      <c r="AB3" s="87"/>
      <c r="AC3" s="87"/>
      <c r="AD3" s="87"/>
      <c r="AE3" s="88"/>
      <c r="AF3" s="92" t="s">
        <v>804</v>
      </c>
      <c r="AG3" s="92" t="s">
        <v>493</v>
      </c>
      <c r="AH3" s="95" t="s">
        <v>877</v>
      </c>
      <c r="AI3" s="94" t="s">
        <v>483</v>
      </c>
      <c r="AJ3" s="94" t="s">
        <v>814</v>
      </c>
      <c r="AK3" s="94" t="s">
        <v>996</v>
      </c>
      <c r="AL3" s="94" t="s">
        <v>308</v>
      </c>
      <c r="AM3" s="94" t="s">
        <v>262</v>
      </c>
      <c r="AN3" s="94" t="s">
        <v>2</v>
      </c>
    </row>
    <row r="4" spans="1:40" ht="30" customHeight="1" x14ac:dyDescent="0.3">
      <c r="A4" s="93"/>
      <c r="B4" s="93"/>
      <c r="C4" s="93"/>
      <c r="D4" s="93"/>
      <c r="E4" s="20" t="s">
        <v>384</v>
      </c>
      <c r="F4" s="20" t="s">
        <v>717</v>
      </c>
      <c r="G4" s="20" t="s">
        <v>394</v>
      </c>
      <c r="H4" s="20" t="s">
        <v>717</v>
      </c>
      <c r="I4" s="20" t="s">
        <v>752</v>
      </c>
      <c r="J4" s="20" t="s">
        <v>717</v>
      </c>
      <c r="K4" s="20" t="s">
        <v>135</v>
      </c>
      <c r="L4" s="20" t="s">
        <v>717</v>
      </c>
      <c r="M4" s="20" t="s">
        <v>452</v>
      </c>
      <c r="N4" s="20" t="s">
        <v>717</v>
      </c>
      <c r="O4" s="20" t="s">
        <v>825</v>
      </c>
      <c r="P4" s="20" t="s">
        <v>717</v>
      </c>
      <c r="Q4" s="20" t="s">
        <v>214</v>
      </c>
      <c r="R4" s="20" t="s">
        <v>717</v>
      </c>
      <c r="S4" s="20" t="s">
        <v>33</v>
      </c>
      <c r="T4" s="20" t="s">
        <v>717</v>
      </c>
      <c r="U4" s="20" t="s">
        <v>911</v>
      </c>
      <c r="V4" s="93"/>
      <c r="W4" s="20" t="s">
        <v>384</v>
      </c>
      <c r="X4" s="20" t="s">
        <v>394</v>
      </c>
      <c r="Y4" s="20" t="s">
        <v>752</v>
      </c>
      <c r="Z4" s="20" t="s">
        <v>135</v>
      </c>
      <c r="AA4" s="20" t="s">
        <v>452</v>
      </c>
      <c r="AB4" s="20" t="s">
        <v>825</v>
      </c>
      <c r="AC4" s="20" t="s">
        <v>214</v>
      </c>
      <c r="AD4" s="20" t="s">
        <v>33</v>
      </c>
      <c r="AE4" s="20" t="s">
        <v>911</v>
      </c>
      <c r="AF4" s="93"/>
      <c r="AG4" s="93"/>
      <c r="AH4" s="95"/>
      <c r="AI4" s="94"/>
      <c r="AJ4" s="94"/>
      <c r="AK4" s="94"/>
      <c r="AL4" s="94"/>
      <c r="AM4" s="94"/>
      <c r="AN4" s="94"/>
    </row>
    <row r="5" spans="1:40" ht="30" customHeight="1" x14ac:dyDescent="0.3">
      <c r="A5" s="10" t="s">
        <v>209</v>
      </c>
      <c r="B5" s="10" t="s">
        <v>864</v>
      </c>
      <c r="C5" s="10" t="s">
        <v>1296</v>
      </c>
      <c r="D5" s="10" t="s">
        <v>547</v>
      </c>
      <c r="E5" s="27">
        <v>0</v>
      </c>
      <c r="F5" s="8" t="s">
        <v>677</v>
      </c>
      <c r="G5" s="27">
        <v>0</v>
      </c>
      <c r="H5" s="8" t="s">
        <v>677</v>
      </c>
      <c r="I5" s="27">
        <v>1990</v>
      </c>
      <c r="J5" s="8" t="s">
        <v>389</v>
      </c>
      <c r="K5" s="27">
        <v>0</v>
      </c>
      <c r="L5" s="8" t="s">
        <v>677</v>
      </c>
      <c r="M5" s="27">
        <v>0</v>
      </c>
      <c r="N5" s="8" t="s">
        <v>677</v>
      </c>
      <c r="O5" s="27">
        <v>0</v>
      </c>
      <c r="P5" s="8" t="s">
        <v>677</v>
      </c>
      <c r="Q5" s="27">
        <v>0</v>
      </c>
      <c r="R5" s="8" t="s">
        <v>677</v>
      </c>
      <c r="S5" s="27">
        <v>0</v>
      </c>
      <c r="T5" s="8" t="s">
        <v>677</v>
      </c>
      <c r="U5" s="27">
        <f>IF(MIN(E5,G5,I5,K5,M5,O5,Q5,S5)&lt;0, MIN(E5,G5,I5,K5,M5,O5,Q5,S5), SMALL(E5:T5,COUNTIF(E5:T5,0)+1)) * 공사설정!$C$24 / 100*AL5/ 100</f>
        <v>1990</v>
      </c>
      <c r="V5" s="27">
        <f xml:space="preserve"> 0 * 공사설정!$C$25 / 100*AM5/ 100</f>
        <v>0</v>
      </c>
      <c r="W5" s="27">
        <v>0</v>
      </c>
      <c r="X5" s="27">
        <v>0</v>
      </c>
      <c r="Y5" s="27">
        <v>0</v>
      </c>
      <c r="Z5" s="27">
        <v>0</v>
      </c>
      <c r="AA5" s="27">
        <v>0</v>
      </c>
      <c r="AB5" s="27">
        <v>0</v>
      </c>
      <c r="AC5" s="27">
        <v>0</v>
      </c>
      <c r="AD5" s="27">
        <v>0</v>
      </c>
      <c r="AE5" s="27">
        <f t="shared" ref="AE5:AE15" si="0">0*AN5/ 100</f>
        <v>0</v>
      </c>
      <c r="AF5" s="10" t="s">
        <v>979</v>
      </c>
      <c r="AG5" s="10" t="s">
        <v>677</v>
      </c>
      <c r="AH5" s="10" t="s">
        <v>677</v>
      </c>
      <c r="AI5" s="10" t="s">
        <v>677</v>
      </c>
      <c r="AK5" s="10" t="s">
        <v>677</v>
      </c>
      <c r="AL5" s="22">
        <v>100</v>
      </c>
      <c r="AM5" s="22">
        <v>100</v>
      </c>
      <c r="AN5" s="17">
        <v>100</v>
      </c>
    </row>
    <row r="6" spans="1:40" ht="30" customHeight="1" x14ac:dyDescent="0.3">
      <c r="A6" s="10" t="s">
        <v>1051</v>
      </c>
      <c r="B6" s="10" t="s">
        <v>1072</v>
      </c>
      <c r="C6" s="31" t="s">
        <v>1076</v>
      </c>
      <c r="D6" s="10" t="s">
        <v>1074</v>
      </c>
      <c r="E6" s="27">
        <v>0</v>
      </c>
      <c r="F6" s="8" t="s">
        <v>677</v>
      </c>
      <c r="G6" s="27">
        <v>0</v>
      </c>
      <c r="H6" s="8" t="s">
        <v>677</v>
      </c>
      <c r="I6" s="27">
        <v>0</v>
      </c>
      <c r="J6" s="8" t="s">
        <v>677</v>
      </c>
      <c r="K6" s="27">
        <v>0</v>
      </c>
      <c r="L6" s="8" t="s">
        <v>677</v>
      </c>
      <c r="M6" s="27">
        <v>0</v>
      </c>
      <c r="N6" s="8" t="s">
        <v>677</v>
      </c>
      <c r="O6" s="27">
        <v>150000</v>
      </c>
      <c r="P6" s="8" t="s">
        <v>677</v>
      </c>
      <c r="Q6" s="27">
        <v>160000</v>
      </c>
      <c r="R6" s="8" t="s">
        <v>677</v>
      </c>
      <c r="S6" s="27"/>
      <c r="T6" s="8" t="s">
        <v>677</v>
      </c>
      <c r="U6" s="27">
        <f>IF(MIN(E6,G6,I6,K6,M6,O6,Q6,S6)&lt;0, MIN(E6,G6,I6,K6,M6,O6,Q6,S6), SMALL(E6:T6,COUNTIF(E6:T6,0)+1)) * [1]공사설정!$C$24 / 100*AL6/ 100</f>
        <v>150000</v>
      </c>
      <c r="V6" s="27">
        <f xml:space="preserve"> 0 * [1]공사설정!$C$25 / 100*AM6/ 100</f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f t="shared" si="0"/>
        <v>0</v>
      </c>
      <c r="AF6" s="10" t="s">
        <v>400</v>
      </c>
      <c r="AG6" s="10" t="s">
        <v>677</v>
      </c>
      <c r="AH6" s="10" t="s">
        <v>677</v>
      </c>
      <c r="AI6" s="10" t="s">
        <v>677</v>
      </c>
      <c r="AK6" s="10" t="s">
        <v>677</v>
      </c>
      <c r="AL6" s="22">
        <v>100</v>
      </c>
      <c r="AM6" s="22">
        <v>100</v>
      </c>
      <c r="AN6" s="17">
        <v>100</v>
      </c>
    </row>
    <row r="7" spans="1:40" ht="30" customHeight="1" x14ac:dyDescent="0.3">
      <c r="A7" s="10" t="s">
        <v>151</v>
      </c>
      <c r="B7" s="10" t="s">
        <v>850</v>
      </c>
      <c r="C7" s="10" t="s">
        <v>414</v>
      </c>
      <c r="D7" s="10" t="s">
        <v>71</v>
      </c>
      <c r="E7" s="27">
        <v>0</v>
      </c>
      <c r="F7" s="8" t="s">
        <v>677</v>
      </c>
      <c r="G7" s="27">
        <v>30000</v>
      </c>
      <c r="H7" s="8" t="s">
        <v>1035</v>
      </c>
      <c r="I7" s="27">
        <v>0</v>
      </c>
      <c r="J7" s="8" t="s">
        <v>677</v>
      </c>
      <c r="K7" s="27">
        <v>0</v>
      </c>
      <c r="L7" s="8" t="s">
        <v>677</v>
      </c>
      <c r="M7" s="27">
        <v>0</v>
      </c>
      <c r="N7" s="8" t="s">
        <v>677</v>
      </c>
      <c r="O7" s="27">
        <v>0</v>
      </c>
      <c r="P7" s="8" t="s">
        <v>677</v>
      </c>
      <c r="Q7" s="27">
        <v>0</v>
      </c>
      <c r="R7" s="8" t="s">
        <v>677</v>
      </c>
      <c r="S7" s="27">
        <v>0</v>
      </c>
      <c r="T7" s="8" t="s">
        <v>677</v>
      </c>
      <c r="U7" s="27">
        <f>IF(MIN(E7,G7,I7,K7,M7,O7,Q7,S7)&lt;0, MIN(E7,G7,I7,K7,M7,O7,Q7,S7), SMALL(E7:T7,COUNTIF(E7:T7,0)+1)) * 공사설정!$C$24 / 100*AL7/ 100</f>
        <v>30000</v>
      </c>
      <c r="V7" s="27">
        <f xml:space="preserve"> 0 * 공사설정!$C$25 / 100*AM7/ 100</f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f t="shared" si="0"/>
        <v>0</v>
      </c>
      <c r="AF7" s="10" t="s">
        <v>432</v>
      </c>
      <c r="AG7" s="10" t="s">
        <v>677</v>
      </c>
      <c r="AH7" s="10" t="s">
        <v>677</v>
      </c>
      <c r="AI7" s="10" t="s">
        <v>677</v>
      </c>
      <c r="AK7" s="10" t="s">
        <v>677</v>
      </c>
      <c r="AL7" s="22">
        <v>100</v>
      </c>
      <c r="AM7" s="22">
        <v>100</v>
      </c>
      <c r="AN7" s="17">
        <v>100</v>
      </c>
    </row>
    <row r="8" spans="1:40" ht="30" customHeight="1" x14ac:dyDescent="0.3">
      <c r="A8" s="10" t="s">
        <v>31</v>
      </c>
      <c r="B8" s="10" t="s">
        <v>951</v>
      </c>
      <c r="C8" s="10" t="s">
        <v>650</v>
      </c>
      <c r="D8" s="10" t="s">
        <v>71</v>
      </c>
      <c r="E8" s="27">
        <v>0</v>
      </c>
      <c r="F8" s="8" t="s">
        <v>677</v>
      </c>
      <c r="G8" s="27">
        <v>0</v>
      </c>
      <c r="H8" s="8" t="s">
        <v>677</v>
      </c>
      <c r="I8" s="27">
        <v>0</v>
      </c>
      <c r="J8" s="8" t="s">
        <v>677</v>
      </c>
      <c r="K8" s="27">
        <v>0</v>
      </c>
      <c r="L8" s="8" t="s">
        <v>677</v>
      </c>
      <c r="M8" s="27">
        <v>0</v>
      </c>
      <c r="N8" s="8" t="s">
        <v>677</v>
      </c>
      <c r="O8" s="27">
        <v>0</v>
      </c>
      <c r="P8" s="8" t="s">
        <v>677</v>
      </c>
      <c r="Q8" s="27">
        <v>0</v>
      </c>
      <c r="R8" s="8" t="s">
        <v>677</v>
      </c>
      <c r="S8" s="27">
        <v>0</v>
      </c>
      <c r="T8" s="8" t="s">
        <v>677</v>
      </c>
      <c r="U8" s="27">
        <f>0*AL8/ 100</f>
        <v>0</v>
      </c>
      <c r="V8" s="27">
        <f xml:space="preserve"> 0 * 공사설정!$C$25 / 100*AM8/ 100</f>
        <v>0</v>
      </c>
      <c r="W8" s="27">
        <v>0</v>
      </c>
      <c r="X8" s="27">
        <v>0</v>
      </c>
      <c r="Y8" s="27">
        <v>0</v>
      </c>
      <c r="Z8" s="27">
        <v>0</v>
      </c>
      <c r="AA8" s="27">
        <v>0</v>
      </c>
      <c r="AB8" s="27">
        <v>0</v>
      </c>
      <c r="AC8" s="27">
        <v>0</v>
      </c>
      <c r="AD8" s="27">
        <v>0</v>
      </c>
      <c r="AE8" s="27">
        <f t="shared" si="0"/>
        <v>0</v>
      </c>
      <c r="AF8" s="10" t="s">
        <v>102</v>
      </c>
      <c r="AG8" s="10" t="s">
        <v>1006</v>
      </c>
      <c r="AH8" s="10" t="s">
        <v>677</v>
      </c>
      <c r="AI8" s="10" t="s">
        <v>677</v>
      </c>
      <c r="AK8" s="10" t="s">
        <v>677</v>
      </c>
      <c r="AL8" s="22">
        <v>100</v>
      </c>
      <c r="AM8" s="22">
        <v>100</v>
      </c>
      <c r="AN8" s="17">
        <v>100</v>
      </c>
    </row>
    <row r="9" spans="1:40" ht="30" customHeight="1" x14ac:dyDescent="0.3">
      <c r="A9" s="10" t="s">
        <v>239</v>
      </c>
      <c r="B9" s="10" t="s">
        <v>323</v>
      </c>
      <c r="C9" s="10" t="s">
        <v>323</v>
      </c>
      <c r="D9" s="10" t="s">
        <v>961</v>
      </c>
      <c r="E9" s="27">
        <v>0</v>
      </c>
      <c r="F9" s="8" t="s">
        <v>677</v>
      </c>
      <c r="G9" s="27">
        <v>0</v>
      </c>
      <c r="H9" s="8" t="s">
        <v>677</v>
      </c>
      <c r="I9" s="27">
        <v>0</v>
      </c>
      <c r="J9" s="8" t="s">
        <v>677</v>
      </c>
      <c r="K9" s="27">
        <v>0</v>
      </c>
      <c r="L9" s="8" t="s">
        <v>677</v>
      </c>
      <c r="M9" s="27">
        <v>0</v>
      </c>
      <c r="N9" s="8" t="s">
        <v>677</v>
      </c>
      <c r="O9" s="27">
        <v>0</v>
      </c>
      <c r="P9" s="8" t="s">
        <v>677</v>
      </c>
      <c r="Q9" s="27">
        <v>0</v>
      </c>
      <c r="R9" s="8" t="s">
        <v>677</v>
      </c>
      <c r="S9" s="27">
        <v>0</v>
      </c>
      <c r="T9" s="8" t="s">
        <v>677</v>
      </c>
      <c r="U9" s="27">
        <f>0*AL9/ 100</f>
        <v>0</v>
      </c>
      <c r="V9" s="27">
        <f xml:space="preserve"> 0 * 공사설정!$C$25 / 100*AM9/ 100</f>
        <v>0</v>
      </c>
      <c r="W9" s="27">
        <v>0</v>
      </c>
      <c r="X9" s="27">
        <v>0</v>
      </c>
      <c r="Y9" s="27">
        <v>0</v>
      </c>
      <c r="Z9" s="27">
        <v>0</v>
      </c>
      <c r="AA9" s="27">
        <v>0</v>
      </c>
      <c r="AB9" s="27">
        <v>0</v>
      </c>
      <c r="AC9" s="27">
        <v>0</v>
      </c>
      <c r="AD9" s="27">
        <v>0</v>
      </c>
      <c r="AE9" s="27">
        <f t="shared" si="0"/>
        <v>0</v>
      </c>
      <c r="AF9" s="10" t="s">
        <v>212</v>
      </c>
      <c r="AG9" s="10" t="s">
        <v>677</v>
      </c>
      <c r="AH9" s="10" t="s">
        <v>677</v>
      </c>
      <c r="AI9" s="10" t="s">
        <v>677</v>
      </c>
      <c r="AK9" s="10" t="s">
        <v>677</v>
      </c>
      <c r="AL9" s="22">
        <v>100</v>
      </c>
      <c r="AM9" s="22">
        <v>100</v>
      </c>
      <c r="AN9" s="17">
        <v>100</v>
      </c>
    </row>
    <row r="10" spans="1:40" ht="30" customHeight="1" x14ac:dyDescent="0.3">
      <c r="A10" s="10" t="s">
        <v>710</v>
      </c>
      <c r="B10" s="10" t="s">
        <v>417</v>
      </c>
      <c r="C10" s="10" t="s">
        <v>391</v>
      </c>
      <c r="D10" s="10" t="s">
        <v>240</v>
      </c>
      <c r="E10" s="27">
        <v>0</v>
      </c>
      <c r="F10" s="8" t="s">
        <v>677</v>
      </c>
      <c r="G10" s="27">
        <v>1845.45</v>
      </c>
      <c r="H10" s="8" t="s">
        <v>32</v>
      </c>
      <c r="I10" s="27">
        <v>1772.72</v>
      </c>
      <c r="J10" s="8" t="s">
        <v>461</v>
      </c>
      <c r="K10" s="27">
        <v>0</v>
      </c>
      <c r="L10" s="8" t="s">
        <v>677</v>
      </c>
      <c r="M10" s="27">
        <v>0</v>
      </c>
      <c r="N10" s="8" t="s">
        <v>677</v>
      </c>
      <c r="O10" s="27">
        <v>0</v>
      </c>
      <c r="P10" s="8" t="s">
        <v>677</v>
      </c>
      <c r="Q10" s="27">
        <v>0</v>
      </c>
      <c r="R10" s="8" t="s">
        <v>677</v>
      </c>
      <c r="S10" s="27">
        <v>0</v>
      </c>
      <c r="T10" s="8" t="s">
        <v>677</v>
      </c>
      <c r="U10" s="27">
        <f>IF(MIN(E10,G10,I10,K10,M10,O10,Q10,S10)&lt;0, MIN(E10,G10,I10,K10,M10,O10,Q10,S10), SMALL(E10:T10,COUNTIF(E10:T10,0)+1)) * 공사설정!$C$24 / 100*AL10/ 100</f>
        <v>1772.72</v>
      </c>
      <c r="V10" s="27">
        <f xml:space="preserve"> 0 * 공사설정!$C$25 / 100*AM10/ 100</f>
        <v>0</v>
      </c>
      <c r="W10" s="27">
        <v>0</v>
      </c>
      <c r="X10" s="27">
        <v>0</v>
      </c>
      <c r="Y10" s="27">
        <v>0</v>
      </c>
      <c r="Z10" s="27">
        <v>0</v>
      </c>
      <c r="AA10" s="27">
        <v>0</v>
      </c>
      <c r="AB10" s="27">
        <v>0</v>
      </c>
      <c r="AC10" s="27">
        <v>0</v>
      </c>
      <c r="AD10" s="27">
        <v>0</v>
      </c>
      <c r="AE10" s="27">
        <f t="shared" si="0"/>
        <v>0</v>
      </c>
      <c r="AF10" s="10" t="s">
        <v>164</v>
      </c>
      <c r="AG10" s="10" t="s">
        <v>677</v>
      </c>
      <c r="AH10" s="10" t="s">
        <v>677</v>
      </c>
      <c r="AI10" s="10" t="s">
        <v>677</v>
      </c>
      <c r="AK10" s="10" t="s">
        <v>677</v>
      </c>
      <c r="AL10" s="22">
        <v>100</v>
      </c>
      <c r="AM10" s="22">
        <v>100</v>
      </c>
      <c r="AN10" s="17">
        <v>100</v>
      </c>
    </row>
    <row r="11" spans="1:40" ht="30" customHeight="1" x14ac:dyDescent="0.3">
      <c r="A11" s="10" t="s">
        <v>408</v>
      </c>
      <c r="B11" s="10" t="s">
        <v>878</v>
      </c>
      <c r="C11" s="10" t="s">
        <v>1002</v>
      </c>
      <c r="D11" s="10" t="s">
        <v>240</v>
      </c>
      <c r="E11" s="27">
        <v>0</v>
      </c>
      <c r="F11" s="8" t="s">
        <v>677</v>
      </c>
      <c r="G11" s="27">
        <v>1711.81</v>
      </c>
      <c r="H11" s="8" t="s">
        <v>32</v>
      </c>
      <c r="I11" s="27">
        <v>1690</v>
      </c>
      <c r="J11" s="8" t="s">
        <v>461</v>
      </c>
      <c r="K11" s="27">
        <v>0</v>
      </c>
      <c r="L11" s="8" t="s">
        <v>677</v>
      </c>
      <c r="M11" s="27">
        <v>0</v>
      </c>
      <c r="N11" s="8" t="s">
        <v>677</v>
      </c>
      <c r="O11" s="27">
        <v>0</v>
      </c>
      <c r="P11" s="8" t="s">
        <v>677</v>
      </c>
      <c r="Q11" s="27">
        <v>0</v>
      </c>
      <c r="R11" s="8" t="s">
        <v>677</v>
      </c>
      <c r="S11" s="27">
        <v>0</v>
      </c>
      <c r="T11" s="8" t="s">
        <v>677</v>
      </c>
      <c r="U11" s="27">
        <f>IF(MIN(E11,G11,I11,K11,M11,O11,Q11,S11)&lt;0, MIN(E11,G11,I11,K11,M11,O11,Q11,S11), SMALL(E11:T11,COUNTIF(E11:T11,0)+1)) * 공사설정!$C$24 / 100*AL11/ 100</f>
        <v>1690</v>
      </c>
      <c r="V11" s="27">
        <f xml:space="preserve"> 0 * 공사설정!$C$25 / 100*AM11/ 100</f>
        <v>0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0</v>
      </c>
      <c r="AC11" s="27">
        <v>0</v>
      </c>
      <c r="AD11" s="27">
        <v>0</v>
      </c>
      <c r="AE11" s="27">
        <f t="shared" si="0"/>
        <v>0</v>
      </c>
      <c r="AF11" s="10" t="s">
        <v>882</v>
      </c>
      <c r="AG11" s="10" t="s">
        <v>677</v>
      </c>
      <c r="AH11" s="10" t="s">
        <v>677</v>
      </c>
      <c r="AI11" s="10" t="s">
        <v>677</v>
      </c>
      <c r="AK11" s="10" t="s">
        <v>677</v>
      </c>
      <c r="AL11" s="22">
        <v>100</v>
      </c>
      <c r="AM11" s="22">
        <v>100</v>
      </c>
      <c r="AN11" s="17">
        <v>100</v>
      </c>
    </row>
    <row r="12" spans="1:40" ht="30" customHeight="1" x14ac:dyDescent="0.3">
      <c r="A12" s="10" t="s">
        <v>1033</v>
      </c>
      <c r="B12" s="10" t="s">
        <v>619</v>
      </c>
      <c r="C12" s="10" t="s">
        <v>22</v>
      </c>
      <c r="D12" s="10" t="s">
        <v>961</v>
      </c>
      <c r="E12" s="27">
        <v>0</v>
      </c>
      <c r="F12" s="8" t="s">
        <v>677</v>
      </c>
      <c r="G12" s="27">
        <v>0</v>
      </c>
      <c r="H12" s="8" t="s">
        <v>677</v>
      </c>
      <c r="I12" s="27">
        <v>0</v>
      </c>
      <c r="J12" s="8" t="s">
        <v>677</v>
      </c>
      <c r="K12" s="27">
        <v>0</v>
      </c>
      <c r="L12" s="8"/>
      <c r="M12" s="27">
        <v>0</v>
      </c>
      <c r="N12" s="8"/>
      <c r="O12" s="27">
        <v>0</v>
      </c>
      <c r="P12" s="8"/>
      <c r="Q12" s="27">
        <v>0</v>
      </c>
      <c r="R12" s="8"/>
      <c r="S12" s="27">
        <v>0</v>
      </c>
      <c r="T12" s="8"/>
      <c r="U12" s="27">
        <f>0*AL12/ 100</f>
        <v>0</v>
      </c>
      <c r="V12" s="27">
        <f xml:space="preserve"> 0 * 공사설정!$C$25 / 100*AM12/ 100</f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f t="shared" si="0"/>
        <v>0</v>
      </c>
      <c r="AF12" s="10" t="s">
        <v>28</v>
      </c>
      <c r="AG12" s="10" t="s">
        <v>677</v>
      </c>
      <c r="AH12" s="10" t="s">
        <v>677</v>
      </c>
      <c r="AI12" s="10" t="s">
        <v>677</v>
      </c>
      <c r="AK12" s="10" t="s">
        <v>677</v>
      </c>
      <c r="AL12" s="22">
        <v>100</v>
      </c>
      <c r="AM12" s="22">
        <v>100</v>
      </c>
      <c r="AN12" s="17">
        <v>100</v>
      </c>
    </row>
    <row r="13" spans="1:40" ht="30" customHeight="1" x14ac:dyDescent="0.3">
      <c r="A13" s="10" t="s">
        <v>344</v>
      </c>
      <c r="B13" s="10" t="s">
        <v>354</v>
      </c>
      <c r="C13" s="10" t="s">
        <v>823</v>
      </c>
      <c r="D13" s="10" t="s">
        <v>924</v>
      </c>
      <c r="E13" s="27">
        <v>989310</v>
      </c>
      <c r="F13" s="8" t="s">
        <v>677</v>
      </c>
      <c r="G13" s="27">
        <v>0</v>
      </c>
      <c r="H13" s="8" t="s">
        <v>677</v>
      </c>
      <c r="I13" s="27">
        <v>0</v>
      </c>
      <c r="J13" s="8" t="s">
        <v>677</v>
      </c>
      <c r="K13" s="27">
        <v>0</v>
      </c>
      <c r="L13" s="8" t="s">
        <v>677</v>
      </c>
      <c r="M13" s="27">
        <v>0</v>
      </c>
      <c r="N13" s="8" t="s">
        <v>677</v>
      </c>
      <c r="O13" s="27">
        <v>0</v>
      </c>
      <c r="P13" s="8" t="s">
        <v>677</v>
      </c>
      <c r="Q13" s="27">
        <v>0</v>
      </c>
      <c r="R13" s="8" t="s">
        <v>677</v>
      </c>
      <c r="S13" s="27">
        <v>0</v>
      </c>
      <c r="T13" s="8" t="s">
        <v>677</v>
      </c>
      <c r="U13" s="27">
        <f>IF(MIN(E13,G13,I13,K13,M13,O13,Q13,S13)&lt;0, MIN(E13,G13,I13,K13,M13,O13,Q13,S13), SMALL(E13:T13,COUNTIF(E13:T13,0)+1)) * 공사설정!$C$24 / 100*AL13/ 100</f>
        <v>989310</v>
      </c>
      <c r="V13" s="27">
        <f xml:space="preserve"> 0 * 공사설정!$C$25 / 100*AM13/ 100</f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f t="shared" si="0"/>
        <v>0</v>
      </c>
      <c r="AF13" s="10" t="s">
        <v>897</v>
      </c>
      <c r="AG13" s="10" t="s">
        <v>677</v>
      </c>
      <c r="AH13" s="10" t="s">
        <v>677</v>
      </c>
      <c r="AI13" s="10" t="s">
        <v>677</v>
      </c>
      <c r="AK13" s="10" t="s">
        <v>1010</v>
      </c>
      <c r="AL13" s="22">
        <v>100</v>
      </c>
      <c r="AM13" s="22">
        <v>100</v>
      </c>
      <c r="AN13" s="17">
        <v>100</v>
      </c>
    </row>
    <row r="14" spans="1:40" ht="30" customHeight="1" x14ac:dyDescent="0.3">
      <c r="A14" s="10" t="s">
        <v>947</v>
      </c>
      <c r="B14" s="10" t="s">
        <v>354</v>
      </c>
      <c r="C14" s="10" t="s">
        <v>892</v>
      </c>
      <c r="D14" s="10" t="s">
        <v>1038</v>
      </c>
      <c r="E14" s="27">
        <v>0</v>
      </c>
      <c r="F14" s="8" t="s">
        <v>677</v>
      </c>
      <c r="G14" s="27">
        <v>1020000</v>
      </c>
      <c r="H14" s="8" t="s">
        <v>233</v>
      </c>
      <c r="I14" s="27">
        <v>1162000</v>
      </c>
      <c r="J14" s="8" t="s">
        <v>596</v>
      </c>
      <c r="K14" s="27">
        <v>0</v>
      </c>
      <c r="L14" s="8" t="s">
        <v>677</v>
      </c>
      <c r="M14" s="27">
        <v>1189000</v>
      </c>
      <c r="N14" s="8" t="s">
        <v>56</v>
      </c>
      <c r="O14" s="27">
        <v>0</v>
      </c>
      <c r="P14" s="8" t="s">
        <v>677</v>
      </c>
      <c r="Q14" s="27">
        <v>0</v>
      </c>
      <c r="R14" s="8" t="s">
        <v>677</v>
      </c>
      <c r="S14" s="27">
        <v>0</v>
      </c>
      <c r="T14" s="8" t="s">
        <v>677</v>
      </c>
      <c r="U14" s="27">
        <f>IF(MIN(E14,G14,I14,K14,M14,O14,Q14,S14)&lt;0, MIN(E14,G14,I14,K14,M14,O14,Q14,S14), SMALL(E14:T14,COUNTIF(E14:T14,0)+1)) * 공사설정!$C$24 / 100*AL14/ 100</f>
        <v>1020000</v>
      </c>
      <c r="V14" s="27">
        <f xml:space="preserve"> 0 * 공사설정!$C$25 / 100*AM14/ 100</f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f t="shared" si="0"/>
        <v>0</v>
      </c>
      <c r="AF14" s="10" t="s">
        <v>1007</v>
      </c>
      <c r="AG14" s="10" t="s">
        <v>677</v>
      </c>
      <c r="AH14" s="10" t="s">
        <v>677</v>
      </c>
      <c r="AI14" s="10" t="s">
        <v>677</v>
      </c>
      <c r="AK14" s="10" t="s">
        <v>677</v>
      </c>
      <c r="AL14" s="22">
        <v>100</v>
      </c>
      <c r="AM14" s="22">
        <v>100</v>
      </c>
      <c r="AN14" s="17">
        <v>100</v>
      </c>
    </row>
    <row r="15" spans="1:40" ht="30" customHeight="1" x14ac:dyDescent="0.3">
      <c r="A15" s="10" t="s">
        <v>101</v>
      </c>
      <c r="B15" s="10" t="s">
        <v>1142</v>
      </c>
      <c r="C15" s="10" t="s">
        <v>1159</v>
      </c>
      <c r="D15" s="10" t="s">
        <v>71</v>
      </c>
      <c r="E15" s="27">
        <v>0</v>
      </c>
      <c r="F15" s="8" t="s">
        <v>677</v>
      </c>
      <c r="G15" s="27">
        <v>1860000</v>
      </c>
      <c r="H15" s="8" t="s">
        <v>1143</v>
      </c>
      <c r="I15" s="27">
        <v>0</v>
      </c>
      <c r="J15" s="8" t="s">
        <v>677</v>
      </c>
      <c r="K15" s="27">
        <v>1856280</v>
      </c>
      <c r="L15" s="8" t="s">
        <v>338</v>
      </c>
      <c r="M15" s="27">
        <v>0</v>
      </c>
      <c r="N15" s="8" t="s">
        <v>677</v>
      </c>
      <c r="O15" s="27">
        <v>0</v>
      </c>
      <c r="P15" s="8" t="s">
        <v>677</v>
      </c>
      <c r="Q15" s="27">
        <v>0</v>
      </c>
      <c r="R15" s="8" t="s">
        <v>677</v>
      </c>
      <c r="S15" s="27">
        <v>0</v>
      </c>
      <c r="T15" s="8" t="s">
        <v>677</v>
      </c>
      <c r="U15" s="27">
        <f>IF(MIN(E15,G15,I15,K15,M15,O15,Q15,S15)&lt;0, MIN(E15,G15,I15,K15,M15,O15,Q15,S15), SMALL(E15:T15,COUNTIF(E15:T15,0)+1)) * 공사설정!$C$24 / 100*AL15/ 100</f>
        <v>1856280</v>
      </c>
      <c r="V15" s="27">
        <f xml:space="preserve"> 0 * 공사설정!$C$25 / 100*AM15/ 100</f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f t="shared" si="0"/>
        <v>0</v>
      </c>
      <c r="AF15" s="10" t="s">
        <v>931</v>
      </c>
      <c r="AG15" s="10" t="s">
        <v>677</v>
      </c>
      <c r="AH15" s="10" t="s">
        <v>677</v>
      </c>
      <c r="AI15" s="10" t="s">
        <v>677</v>
      </c>
      <c r="AK15" s="10" t="s">
        <v>677</v>
      </c>
      <c r="AL15" s="22">
        <v>100</v>
      </c>
      <c r="AM15" s="22">
        <v>100</v>
      </c>
      <c r="AN15" s="17">
        <v>100</v>
      </c>
    </row>
    <row r="16" spans="1:40" ht="30" customHeight="1" x14ac:dyDescent="0.3">
      <c r="A16" s="10" t="s">
        <v>305</v>
      </c>
      <c r="B16" s="10" t="s">
        <v>1085</v>
      </c>
      <c r="C16" s="10" t="s">
        <v>1086</v>
      </c>
      <c r="D16" s="10" t="s">
        <v>1087</v>
      </c>
      <c r="E16" s="27">
        <v>0</v>
      </c>
      <c r="F16" s="8" t="s">
        <v>677</v>
      </c>
      <c r="G16" s="27">
        <v>20000</v>
      </c>
      <c r="H16" s="8" t="s">
        <v>1088</v>
      </c>
      <c r="I16" s="27">
        <v>0</v>
      </c>
      <c r="J16" s="8"/>
      <c r="K16" s="27">
        <v>0</v>
      </c>
      <c r="L16" s="8"/>
      <c r="M16" s="27">
        <v>0</v>
      </c>
      <c r="N16" s="8"/>
      <c r="O16" s="27">
        <v>0</v>
      </c>
      <c r="P16" s="8"/>
      <c r="Q16" s="27">
        <v>0</v>
      </c>
      <c r="R16" s="8" t="s">
        <v>677</v>
      </c>
      <c r="S16" s="27">
        <v>0</v>
      </c>
      <c r="T16" s="8" t="s">
        <v>677</v>
      </c>
      <c r="U16" s="27">
        <f>IF(MIN(E16,G16,I16,K16,M16,O16,Q16,S16)&lt;0, MIN(E16,G16,I16,K16,M16,O16,Q16,S16), SMALL(E16:T16,COUNTIF(E16:T16,0)+1)) * 공사설정!$C$24 / 100*AL16/ 100</f>
        <v>20000</v>
      </c>
      <c r="V16" s="27">
        <f xml:space="preserve"> 0 * 공사설정!$C$25 / 100*AM16/ 100</f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f t="shared" ref="AE16:AE18" si="1">0*AN16/ 100</f>
        <v>0</v>
      </c>
      <c r="AF16" s="10" t="s">
        <v>679</v>
      </c>
      <c r="AG16" s="10" t="s">
        <v>677</v>
      </c>
      <c r="AH16" s="10" t="s">
        <v>677</v>
      </c>
      <c r="AI16" s="10" t="s">
        <v>677</v>
      </c>
      <c r="AK16" s="10" t="s">
        <v>677</v>
      </c>
      <c r="AL16" s="22">
        <v>100</v>
      </c>
      <c r="AM16" s="22">
        <v>100</v>
      </c>
      <c r="AN16" s="17">
        <v>100</v>
      </c>
    </row>
    <row r="17" spans="1:40" ht="30" customHeight="1" x14ac:dyDescent="0.3">
      <c r="A17" s="10" t="s">
        <v>623</v>
      </c>
      <c r="B17" s="10" t="s">
        <v>772</v>
      </c>
      <c r="C17" s="10" t="s">
        <v>1095</v>
      </c>
      <c r="D17" s="10" t="s">
        <v>71</v>
      </c>
      <c r="E17" s="27">
        <v>0</v>
      </c>
      <c r="F17" s="8" t="s">
        <v>677</v>
      </c>
      <c r="G17" s="27">
        <v>79060</v>
      </c>
      <c r="H17" s="8" t="s">
        <v>1035</v>
      </c>
      <c r="I17" s="27">
        <v>0</v>
      </c>
      <c r="J17" s="8" t="s">
        <v>677</v>
      </c>
      <c r="K17" s="27">
        <v>0</v>
      </c>
      <c r="L17" s="8" t="s">
        <v>677</v>
      </c>
      <c r="M17" s="27">
        <v>0</v>
      </c>
      <c r="N17" s="8" t="s">
        <v>677</v>
      </c>
      <c r="O17" s="27">
        <v>0</v>
      </c>
      <c r="P17" s="8" t="s">
        <v>677</v>
      </c>
      <c r="Q17" s="27">
        <v>0</v>
      </c>
      <c r="R17" s="8" t="s">
        <v>677</v>
      </c>
      <c r="S17" s="27">
        <v>0</v>
      </c>
      <c r="T17" s="8" t="s">
        <v>677</v>
      </c>
      <c r="U17" s="27">
        <f>IF(MIN(E17,G17,I17,K17,M17,O17,Q17,S17)&lt;0, MIN(E17,G17,I17,K17,M17,O17,Q17,S17), SMALL(E17:T17,COUNTIF(E17:T17,0)+1)) * 공사설정!$C$24 / 100*AL17/ 100</f>
        <v>79060</v>
      </c>
      <c r="V17" s="27">
        <f xml:space="preserve"> 0 * 공사설정!$C$25 / 100*AM17/ 100</f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f t="shared" si="1"/>
        <v>0</v>
      </c>
      <c r="AF17" s="10" t="s">
        <v>1036</v>
      </c>
      <c r="AG17" s="10" t="s">
        <v>677</v>
      </c>
      <c r="AH17" s="10" t="s">
        <v>677</v>
      </c>
      <c r="AI17" s="10" t="s">
        <v>677</v>
      </c>
      <c r="AK17" s="10" t="s">
        <v>677</v>
      </c>
      <c r="AL17" s="22">
        <v>100</v>
      </c>
      <c r="AM17" s="22">
        <v>100</v>
      </c>
      <c r="AN17" s="17">
        <v>100</v>
      </c>
    </row>
    <row r="18" spans="1:40" ht="30" customHeight="1" x14ac:dyDescent="0.3">
      <c r="A18" s="10" t="s">
        <v>815</v>
      </c>
      <c r="B18" s="10" t="s">
        <v>772</v>
      </c>
      <c r="C18" s="10" t="s">
        <v>1093</v>
      </c>
      <c r="D18" s="10" t="s">
        <v>71</v>
      </c>
      <c r="E18" s="27">
        <v>0</v>
      </c>
      <c r="F18" s="8" t="s">
        <v>677</v>
      </c>
      <c r="G18" s="27">
        <v>78250</v>
      </c>
      <c r="H18" s="8" t="s">
        <v>1035</v>
      </c>
      <c r="I18" s="27">
        <v>0</v>
      </c>
      <c r="J18" s="8" t="s">
        <v>677</v>
      </c>
      <c r="K18" s="27">
        <v>0</v>
      </c>
      <c r="L18" s="8" t="s">
        <v>677</v>
      </c>
      <c r="M18" s="27">
        <v>0</v>
      </c>
      <c r="N18" s="8" t="s">
        <v>677</v>
      </c>
      <c r="O18" s="27">
        <v>0</v>
      </c>
      <c r="P18" s="8" t="s">
        <v>677</v>
      </c>
      <c r="Q18" s="27">
        <v>0</v>
      </c>
      <c r="R18" s="8" t="s">
        <v>677</v>
      </c>
      <c r="S18" s="27">
        <v>0</v>
      </c>
      <c r="T18" s="8" t="s">
        <v>677</v>
      </c>
      <c r="U18" s="27">
        <f>IF(MIN(E18,G18,I18,K18,M18,O18,Q18,S18)&lt;0, MIN(E18,G18,I18,K18,M18,O18,Q18,S18), SMALL(E18:T18,COUNTIF(E18:T18,0)+1)) * 공사설정!$C$24 / 100*AL18/ 100</f>
        <v>78250</v>
      </c>
      <c r="V18" s="27">
        <f xml:space="preserve"> 0 * 공사설정!$C$25 / 100*AM18/ 100</f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f t="shared" si="1"/>
        <v>0</v>
      </c>
      <c r="AF18" s="10" t="s">
        <v>385</v>
      </c>
      <c r="AG18" s="10" t="s">
        <v>677</v>
      </c>
      <c r="AH18" s="10" t="s">
        <v>677</v>
      </c>
      <c r="AI18" s="10" t="s">
        <v>677</v>
      </c>
      <c r="AK18" s="10" t="s">
        <v>677</v>
      </c>
      <c r="AL18" s="22">
        <v>100</v>
      </c>
      <c r="AM18" s="22">
        <v>100</v>
      </c>
      <c r="AN18" s="17">
        <v>100</v>
      </c>
    </row>
    <row r="19" spans="1:40" ht="30" customHeight="1" x14ac:dyDescent="0.3">
      <c r="A19" s="10" t="s">
        <v>571</v>
      </c>
      <c r="B19" s="10" t="s">
        <v>711</v>
      </c>
      <c r="C19" s="10" t="s">
        <v>650</v>
      </c>
      <c r="D19" s="10" t="s">
        <v>961</v>
      </c>
      <c r="E19" s="27">
        <v>0</v>
      </c>
      <c r="F19" s="8" t="s">
        <v>677</v>
      </c>
      <c r="G19" s="27">
        <v>0</v>
      </c>
      <c r="H19" s="8" t="s">
        <v>677</v>
      </c>
      <c r="I19" s="27">
        <v>0</v>
      </c>
      <c r="J19" s="8" t="s">
        <v>677</v>
      </c>
      <c r="K19" s="27">
        <v>0</v>
      </c>
      <c r="L19" s="8" t="s">
        <v>677</v>
      </c>
      <c r="M19" s="27">
        <v>0</v>
      </c>
      <c r="N19" s="8" t="s">
        <v>677</v>
      </c>
      <c r="O19" s="27">
        <v>0</v>
      </c>
      <c r="P19" s="8" t="s">
        <v>677</v>
      </c>
      <c r="Q19" s="27">
        <v>0</v>
      </c>
      <c r="R19" s="8" t="s">
        <v>677</v>
      </c>
      <c r="S19" s="27">
        <v>0</v>
      </c>
      <c r="T19" s="8" t="s">
        <v>677</v>
      </c>
      <c r="U19" s="27">
        <f>0*AL19/ 100</f>
        <v>0</v>
      </c>
      <c r="V19" s="27">
        <f xml:space="preserve"> 0 * 공사설정!$C$25 / 100*AM19/ 100</f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f t="shared" ref="AE19:AE54" si="2">0*AN19/ 100</f>
        <v>0</v>
      </c>
      <c r="AF19" s="10" t="s">
        <v>880</v>
      </c>
      <c r="AG19" s="10" t="s">
        <v>1006</v>
      </c>
      <c r="AH19" s="10" t="s">
        <v>677</v>
      </c>
      <c r="AI19" s="10" t="s">
        <v>677</v>
      </c>
      <c r="AK19" s="10" t="s">
        <v>677</v>
      </c>
      <c r="AL19" s="22">
        <v>100</v>
      </c>
      <c r="AM19" s="22">
        <v>100</v>
      </c>
      <c r="AN19" s="17">
        <v>100</v>
      </c>
    </row>
    <row r="20" spans="1:40" ht="30" customHeight="1" x14ac:dyDescent="0.3">
      <c r="A20" s="10" t="s">
        <v>898</v>
      </c>
      <c r="B20" s="10" t="s">
        <v>577</v>
      </c>
      <c r="C20" s="10" t="s">
        <v>482</v>
      </c>
      <c r="D20" s="10" t="s">
        <v>801</v>
      </c>
      <c r="E20" s="27">
        <v>0</v>
      </c>
      <c r="F20" s="8" t="s">
        <v>677</v>
      </c>
      <c r="G20" s="27">
        <v>4640</v>
      </c>
      <c r="H20" s="8" t="s">
        <v>105</v>
      </c>
      <c r="I20" s="27">
        <v>4535</v>
      </c>
      <c r="J20" s="8" t="s">
        <v>656</v>
      </c>
      <c r="K20" s="27">
        <v>0</v>
      </c>
      <c r="L20" s="8" t="s">
        <v>677</v>
      </c>
      <c r="M20" s="27">
        <v>0</v>
      </c>
      <c r="N20" s="8" t="s">
        <v>677</v>
      </c>
      <c r="O20" s="27">
        <v>0</v>
      </c>
      <c r="P20" s="8" t="s">
        <v>677</v>
      </c>
      <c r="Q20" s="27">
        <v>0</v>
      </c>
      <c r="R20" s="8" t="s">
        <v>677</v>
      </c>
      <c r="S20" s="27">
        <v>0</v>
      </c>
      <c r="T20" s="8" t="s">
        <v>677</v>
      </c>
      <c r="U20" s="27">
        <f>IF(MIN(E20,G20,I20,K20,M20,O20,Q20,S20)&lt;0, MIN(E20,G20,I20,K20,M20,O20,Q20,S20), SMALL(E20:T20,COUNTIF(E20:T20,0)+1)) * 공사설정!$C$24 / 100*AL20/ 100</f>
        <v>4535</v>
      </c>
      <c r="V20" s="27">
        <f xml:space="preserve"> 0 * 공사설정!$C$25 / 100*AM20/ 100</f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f t="shared" si="2"/>
        <v>0</v>
      </c>
      <c r="AF20" s="10" t="s">
        <v>722</v>
      </c>
      <c r="AG20" s="10" t="s">
        <v>677</v>
      </c>
      <c r="AH20" s="10" t="s">
        <v>677</v>
      </c>
      <c r="AI20" s="10" t="s">
        <v>677</v>
      </c>
      <c r="AK20" s="10" t="s">
        <v>677</v>
      </c>
      <c r="AL20" s="22">
        <v>100</v>
      </c>
      <c r="AM20" s="22">
        <v>100</v>
      </c>
      <c r="AN20" s="17">
        <v>100</v>
      </c>
    </row>
    <row r="21" spans="1:40" ht="30" customHeight="1" x14ac:dyDescent="0.3">
      <c r="A21" s="10" t="s">
        <v>575</v>
      </c>
      <c r="B21" s="10" t="s">
        <v>822</v>
      </c>
      <c r="C21" s="10" t="s">
        <v>424</v>
      </c>
      <c r="D21" s="10" t="s">
        <v>439</v>
      </c>
      <c r="E21" s="27">
        <v>0</v>
      </c>
      <c r="F21" s="8" t="s">
        <v>677</v>
      </c>
      <c r="G21" s="27">
        <v>0</v>
      </c>
      <c r="H21" s="8" t="s">
        <v>677</v>
      </c>
      <c r="I21" s="27">
        <v>0</v>
      </c>
      <c r="J21" s="8" t="s">
        <v>677</v>
      </c>
      <c r="K21" s="27">
        <v>0</v>
      </c>
      <c r="L21" s="8"/>
      <c r="M21" s="27">
        <v>0</v>
      </c>
      <c r="N21" s="8"/>
      <c r="O21" s="27">
        <v>345</v>
      </c>
      <c r="P21" s="8"/>
      <c r="Q21" s="27">
        <v>375</v>
      </c>
      <c r="R21" s="8"/>
      <c r="S21" s="27">
        <v>350</v>
      </c>
      <c r="T21" s="8"/>
      <c r="U21" s="27">
        <f>IF(MIN(E21,G21,I21,K21,M21,O21,Q21,S21)&lt;0, MIN(E21,G21,I21,K21,M21,O21,Q21,S21), SMALL(E21:T21,COUNTIF(E21:T21,0)+1)) * [1]공사설정!$C$24 / 100*AL21/ 100</f>
        <v>345</v>
      </c>
      <c r="V21" s="27">
        <f xml:space="preserve"> 0 * 공사설정!$C$25 / 100*AM21/ 100</f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f t="shared" si="2"/>
        <v>0</v>
      </c>
      <c r="AF21" s="10" t="s">
        <v>157</v>
      </c>
      <c r="AG21" s="10" t="s">
        <v>677</v>
      </c>
      <c r="AH21" s="10" t="s">
        <v>677</v>
      </c>
      <c r="AI21" s="10" t="s">
        <v>677</v>
      </c>
      <c r="AK21" s="10" t="s">
        <v>677</v>
      </c>
      <c r="AL21" s="22">
        <v>100</v>
      </c>
      <c r="AM21" s="22">
        <v>100</v>
      </c>
      <c r="AN21" s="17">
        <v>100</v>
      </c>
    </row>
    <row r="22" spans="1:40" ht="30" customHeight="1" x14ac:dyDescent="0.3">
      <c r="A22" s="10" t="s">
        <v>201</v>
      </c>
      <c r="B22" s="10" t="s">
        <v>386</v>
      </c>
      <c r="C22" s="10" t="s">
        <v>6</v>
      </c>
      <c r="D22" s="10" t="s">
        <v>439</v>
      </c>
      <c r="E22" s="27">
        <v>30839</v>
      </c>
      <c r="F22" s="8" t="s">
        <v>677</v>
      </c>
      <c r="G22" s="27">
        <v>27000</v>
      </c>
      <c r="H22" s="8" t="s">
        <v>300</v>
      </c>
      <c r="I22" s="27">
        <v>34840</v>
      </c>
      <c r="J22" s="8" t="s">
        <v>154</v>
      </c>
      <c r="K22" s="27">
        <v>25500</v>
      </c>
      <c r="L22" s="8" t="s">
        <v>339</v>
      </c>
      <c r="M22" s="27">
        <v>0</v>
      </c>
      <c r="N22" s="8" t="s">
        <v>677</v>
      </c>
      <c r="O22" s="27">
        <v>0</v>
      </c>
      <c r="P22" s="8" t="s">
        <v>677</v>
      </c>
      <c r="Q22" s="27">
        <v>0</v>
      </c>
      <c r="R22" s="8" t="s">
        <v>677</v>
      </c>
      <c r="S22" s="27">
        <v>0</v>
      </c>
      <c r="T22" s="8" t="s">
        <v>677</v>
      </c>
      <c r="U22" s="27">
        <f>IF(MIN(E22,G22,I22,K22,M22,O22,Q22,S22)&lt;0, MIN(E22,G22,I22,K22,M22,O22,Q22,S22), SMALL(E22:T22,COUNTIF(E22:T22,0)+1)) * 공사설정!$C$24 / 100*AL22/ 100</f>
        <v>25500</v>
      </c>
      <c r="V22" s="27">
        <f xml:space="preserve"> 0 * 공사설정!$C$25 / 100*AM22/ 100</f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  <c r="AD22" s="27">
        <v>0</v>
      </c>
      <c r="AE22" s="27">
        <f t="shared" si="2"/>
        <v>0</v>
      </c>
      <c r="AF22" s="10" t="s">
        <v>400</v>
      </c>
      <c r="AG22" s="10" t="s">
        <v>677</v>
      </c>
      <c r="AH22" s="10" t="s">
        <v>677</v>
      </c>
      <c r="AI22" s="10" t="s">
        <v>677</v>
      </c>
      <c r="AK22" s="10" t="s">
        <v>1010</v>
      </c>
      <c r="AL22" s="22">
        <v>100</v>
      </c>
      <c r="AM22" s="22">
        <v>100</v>
      </c>
      <c r="AN22" s="17">
        <v>100</v>
      </c>
    </row>
    <row r="23" spans="1:40" ht="30" customHeight="1" x14ac:dyDescent="0.3">
      <c r="A23" s="10" t="s">
        <v>353</v>
      </c>
      <c r="B23" s="10" t="s">
        <v>386</v>
      </c>
      <c r="C23" s="10" t="s">
        <v>632</v>
      </c>
      <c r="D23" s="10" t="s">
        <v>439</v>
      </c>
      <c r="E23" s="27">
        <v>23201</v>
      </c>
      <c r="F23" s="8" t="s">
        <v>677</v>
      </c>
      <c r="G23" s="27">
        <v>0</v>
      </c>
      <c r="H23" s="8" t="s">
        <v>677</v>
      </c>
      <c r="I23" s="27">
        <v>18410</v>
      </c>
      <c r="J23" s="8" t="s">
        <v>154</v>
      </c>
      <c r="K23" s="27">
        <v>0</v>
      </c>
      <c r="L23" s="8" t="s">
        <v>677</v>
      </c>
      <c r="M23" s="27">
        <v>0</v>
      </c>
      <c r="N23" s="8" t="s">
        <v>677</v>
      </c>
      <c r="O23" s="27">
        <v>0</v>
      </c>
      <c r="P23" s="8" t="s">
        <v>677</v>
      </c>
      <c r="Q23" s="27">
        <v>0</v>
      </c>
      <c r="R23" s="8" t="s">
        <v>677</v>
      </c>
      <c r="S23" s="27">
        <v>0</v>
      </c>
      <c r="T23" s="8" t="s">
        <v>677</v>
      </c>
      <c r="U23" s="27">
        <f>IF(MIN(E23,G23,I23,K23,M23,O23,Q23,S23)&lt;0, MIN(E23,G23,I23,K23,M23,O23,Q23,S23), SMALL(E23:T23,COUNTIF(E23:T23,0)+1)) * 공사설정!$C$24 / 100*AL23/ 100</f>
        <v>18410</v>
      </c>
      <c r="V23" s="27">
        <f xml:space="preserve"> 0 * 공사설정!$C$25 / 100*AM23/ 100</f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f t="shared" si="2"/>
        <v>0</v>
      </c>
      <c r="AF23" s="10" t="s">
        <v>374</v>
      </c>
      <c r="AG23" s="10" t="s">
        <v>677</v>
      </c>
      <c r="AH23" s="10" t="s">
        <v>677</v>
      </c>
      <c r="AI23" s="10" t="s">
        <v>677</v>
      </c>
      <c r="AK23" s="10" t="s">
        <v>677</v>
      </c>
      <c r="AL23" s="22">
        <v>100</v>
      </c>
      <c r="AM23" s="22">
        <v>100</v>
      </c>
      <c r="AN23" s="17">
        <v>100</v>
      </c>
    </row>
    <row r="24" spans="1:40" ht="30" customHeight="1" x14ac:dyDescent="0.3">
      <c r="A24" s="10" t="s">
        <v>380</v>
      </c>
      <c r="B24" s="10" t="s">
        <v>294</v>
      </c>
      <c r="C24" s="10" t="s">
        <v>862</v>
      </c>
      <c r="D24" s="10" t="s">
        <v>858</v>
      </c>
      <c r="E24" s="27">
        <v>1947222</v>
      </c>
      <c r="F24" s="8" t="s">
        <v>677</v>
      </c>
      <c r="G24" s="27">
        <v>2100000</v>
      </c>
      <c r="H24" s="8" t="s">
        <v>485</v>
      </c>
      <c r="I24" s="27">
        <v>1800000</v>
      </c>
      <c r="J24" s="8" t="s">
        <v>133</v>
      </c>
      <c r="K24" s="27">
        <v>0</v>
      </c>
      <c r="L24" s="8" t="s">
        <v>677</v>
      </c>
      <c r="M24" s="27">
        <v>0</v>
      </c>
      <c r="N24" s="8" t="s">
        <v>677</v>
      </c>
      <c r="O24" s="27">
        <v>0</v>
      </c>
      <c r="P24" s="8" t="s">
        <v>677</v>
      </c>
      <c r="Q24" s="27">
        <v>0</v>
      </c>
      <c r="R24" s="8" t="s">
        <v>677</v>
      </c>
      <c r="S24" s="27">
        <v>0</v>
      </c>
      <c r="T24" s="8" t="s">
        <v>677</v>
      </c>
      <c r="U24" s="27">
        <f>IF(MIN(E24,G24,I24,K24,M24,O24,Q24,S24)&lt;0, MIN(E24,G24,I24,K24,M24,O24,Q24,S24), SMALL(E24:T24,COUNTIF(E24:T24,0)+1)) * 공사설정!$C$24 / 100*AL24/ 100</f>
        <v>1800000</v>
      </c>
      <c r="V24" s="27">
        <f xml:space="preserve"> 0 * 공사설정!$C$25 / 100*AM24/ 100</f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f t="shared" si="2"/>
        <v>0</v>
      </c>
      <c r="AF24" s="10" t="s">
        <v>312</v>
      </c>
      <c r="AG24" s="10" t="s">
        <v>677</v>
      </c>
      <c r="AH24" s="10" t="s">
        <v>677</v>
      </c>
      <c r="AI24" s="10" t="s">
        <v>677</v>
      </c>
      <c r="AK24" s="10" t="s">
        <v>677</v>
      </c>
      <c r="AL24" s="22">
        <v>100</v>
      </c>
      <c r="AM24" s="22">
        <v>100</v>
      </c>
      <c r="AN24" s="17">
        <v>100</v>
      </c>
    </row>
    <row r="25" spans="1:40" ht="30" customHeight="1" x14ac:dyDescent="0.3">
      <c r="A25" s="10" t="s">
        <v>776</v>
      </c>
      <c r="B25" s="10" t="s">
        <v>534</v>
      </c>
      <c r="C25" s="10" t="s">
        <v>504</v>
      </c>
      <c r="D25" s="10" t="s">
        <v>961</v>
      </c>
      <c r="E25" s="27">
        <v>1524</v>
      </c>
      <c r="F25" s="8" t="s">
        <v>677</v>
      </c>
      <c r="G25" s="27">
        <v>1780</v>
      </c>
      <c r="H25" s="8" t="s">
        <v>176</v>
      </c>
      <c r="I25" s="27">
        <v>1830</v>
      </c>
      <c r="J25" s="8" t="s">
        <v>91</v>
      </c>
      <c r="K25" s="27">
        <v>0</v>
      </c>
      <c r="L25" s="8" t="s">
        <v>677</v>
      </c>
      <c r="M25" s="27">
        <v>0</v>
      </c>
      <c r="N25" s="8" t="s">
        <v>677</v>
      </c>
      <c r="O25" s="27">
        <v>0</v>
      </c>
      <c r="P25" s="8" t="s">
        <v>677</v>
      </c>
      <c r="Q25" s="27">
        <v>0</v>
      </c>
      <c r="R25" s="8" t="s">
        <v>677</v>
      </c>
      <c r="S25" s="27">
        <v>0</v>
      </c>
      <c r="T25" s="8" t="s">
        <v>677</v>
      </c>
      <c r="U25" s="27">
        <f>IF(MIN(E25,G25,I25,K25,M25,O25,Q25,S25)&lt;0, MIN(E25,G25,I25,K25,M25,O25,Q25,S25), SMALL(E25:T25,COUNTIF(E25:T25,0)+1)) * 공사설정!$C$24 / 100*AL25/ 100</f>
        <v>1524</v>
      </c>
      <c r="V25" s="27">
        <f xml:space="preserve"> 0 * 공사설정!$C$25 / 100*AM25/ 100</f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f t="shared" si="2"/>
        <v>0</v>
      </c>
      <c r="AF25" s="10" t="s">
        <v>368</v>
      </c>
      <c r="AG25" s="10" t="s">
        <v>677</v>
      </c>
      <c r="AH25" s="10" t="s">
        <v>677</v>
      </c>
      <c r="AI25" s="10" t="s">
        <v>677</v>
      </c>
      <c r="AK25" s="10" t="s">
        <v>677</v>
      </c>
      <c r="AL25" s="22">
        <v>100</v>
      </c>
      <c r="AM25" s="22">
        <v>100</v>
      </c>
      <c r="AN25" s="17">
        <v>100</v>
      </c>
    </row>
    <row r="26" spans="1:40" ht="30" customHeight="1" x14ac:dyDescent="0.3">
      <c r="A26" s="10" t="s">
        <v>903</v>
      </c>
      <c r="B26" s="10" t="s">
        <v>336</v>
      </c>
      <c r="C26" s="10" t="s">
        <v>1013</v>
      </c>
      <c r="D26" s="10" t="s">
        <v>858</v>
      </c>
      <c r="E26" s="27">
        <v>0</v>
      </c>
      <c r="F26" s="8" t="s">
        <v>677</v>
      </c>
      <c r="G26" s="27">
        <v>3960</v>
      </c>
      <c r="H26" s="8" t="s">
        <v>976</v>
      </c>
      <c r="I26" s="27">
        <v>3440</v>
      </c>
      <c r="J26" s="8" t="s">
        <v>698</v>
      </c>
      <c r="K26" s="27">
        <v>0</v>
      </c>
      <c r="L26" s="8" t="s">
        <v>677</v>
      </c>
      <c r="M26" s="27">
        <v>0</v>
      </c>
      <c r="N26" s="8" t="s">
        <v>677</v>
      </c>
      <c r="O26" s="27">
        <v>0</v>
      </c>
      <c r="P26" s="8" t="s">
        <v>677</v>
      </c>
      <c r="Q26" s="27">
        <v>0</v>
      </c>
      <c r="R26" s="8" t="s">
        <v>677</v>
      </c>
      <c r="S26" s="27">
        <v>0</v>
      </c>
      <c r="T26" s="8" t="s">
        <v>677</v>
      </c>
      <c r="U26" s="27">
        <f>IF(MIN(E26,G26,I26,K26,M26,O26,Q26,S26)&lt;0, MIN(E26,G26,I26,K26,M26,O26,Q26,S26), SMALL(E26:T26,COUNTIF(E26:T26,0)+1)) * 공사설정!$C$24 / 100*AL26/ 100</f>
        <v>3440</v>
      </c>
      <c r="V26" s="27">
        <f xml:space="preserve"> 0 * 공사설정!$C$25 / 100*AM26/ 100</f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f t="shared" si="2"/>
        <v>0</v>
      </c>
      <c r="AF26" s="10" t="s">
        <v>919</v>
      </c>
      <c r="AG26" s="10" t="s">
        <v>677</v>
      </c>
      <c r="AH26" s="10" t="s">
        <v>677</v>
      </c>
      <c r="AI26" s="10" t="s">
        <v>677</v>
      </c>
      <c r="AK26" s="10" t="s">
        <v>677</v>
      </c>
      <c r="AL26" s="22">
        <v>100</v>
      </c>
      <c r="AM26" s="22">
        <v>100</v>
      </c>
      <c r="AN26" s="17">
        <v>100</v>
      </c>
    </row>
    <row r="27" spans="1:40" ht="30" customHeight="1" x14ac:dyDescent="0.3">
      <c r="A27" s="10" t="s">
        <v>203</v>
      </c>
      <c r="B27" s="10" t="s">
        <v>1128</v>
      </c>
      <c r="C27" s="10" t="s">
        <v>1129</v>
      </c>
      <c r="D27" s="10" t="s">
        <v>1130</v>
      </c>
      <c r="E27" s="27">
        <v>0</v>
      </c>
      <c r="F27" s="8" t="s">
        <v>677</v>
      </c>
      <c r="G27" s="27">
        <v>0</v>
      </c>
      <c r="H27" s="8" t="s">
        <v>677</v>
      </c>
      <c r="I27" s="27">
        <v>0</v>
      </c>
      <c r="J27" s="8" t="s">
        <v>677</v>
      </c>
      <c r="K27" s="27">
        <v>0</v>
      </c>
      <c r="L27" s="8" t="s">
        <v>677</v>
      </c>
      <c r="M27" s="27">
        <v>0</v>
      </c>
      <c r="N27" s="8" t="s">
        <v>677</v>
      </c>
      <c r="O27" s="27">
        <v>3500</v>
      </c>
      <c r="P27" s="8" t="s">
        <v>677</v>
      </c>
      <c r="Q27" s="27">
        <v>0</v>
      </c>
      <c r="R27" s="8" t="s">
        <v>677</v>
      </c>
      <c r="S27" s="27">
        <v>0</v>
      </c>
      <c r="T27" s="8" t="s">
        <v>677</v>
      </c>
      <c r="U27" s="27">
        <f>IF(MIN(E27,G27,I27,K27,M27,O27,Q27,S27)&lt;0, MIN(E27,G27,I27,K27,M27,O27,Q27,S27), SMALL(E27:T27,COUNTIF(E27:T27,0)+1)) * 공사설정!$C$24 / 100*AL27/ 100</f>
        <v>3500</v>
      </c>
      <c r="V27" s="27">
        <f xml:space="preserve"> 0 * 공사설정!$C$25 / 100*AM27/ 100</f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f t="shared" ref="AE27" si="3">0*AN27/ 100</f>
        <v>0</v>
      </c>
      <c r="AF27" s="10" t="s">
        <v>633</v>
      </c>
      <c r="AG27" s="10" t="s">
        <v>677</v>
      </c>
      <c r="AH27" s="10" t="s">
        <v>677</v>
      </c>
      <c r="AI27" s="10" t="s">
        <v>677</v>
      </c>
      <c r="AK27" s="10" t="s">
        <v>677</v>
      </c>
      <c r="AL27" s="22">
        <v>100</v>
      </c>
      <c r="AM27" s="22">
        <v>100</v>
      </c>
      <c r="AN27" s="17">
        <v>100</v>
      </c>
    </row>
    <row r="28" spans="1:40" ht="30" customHeight="1" x14ac:dyDescent="0.3">
      <c r="A28" s="10" t="s">
        <v>950</v>
      </c>
      <c r="B28" s="10" t="s">
        <v>40</v>
      </c>
      <c r="C28" s="10" t="s">
        <v>52</v>
      </c>
      <c r="D28" s="10" t="s">
        <v>240</v>
      </c>
      <c r="E28" s="27">
        <v>5493</v>
      </c>
      <c r="F28" s="8" t="s">
        <v>677</v>
      </c>
      <c r="G28" s="27">
        <v>10555.55</v>
      </c>
      <c r="H28" s="8" t="s">
        <v>724</v>
      </c>
      <c r="I28" s="27">
        <v>0</v>
      </c>
      <c r="J28" s="8" t="s">
        <v>677</v>
      </c>
      <c r="K28" s="27">
        <v>6083</v>
      </c>
      <c r="L28" s="8" t="s">
        <v>99</v>
      </c>
      <c r="M28" s="27">
        <v>0</v>
      </c>
      <c r="N28" s="8" t="s">
        <v>677</v>
      </c>
      <c r="O28" s="27">
        <v>0</v>
      </c>
      <c r="P28" s="8" t="s">
        <v>677</v>
      </c>
      <c r="Q28" s="27">
        <v>0</v>
      </c>
      <c r="R28" s="8" t="s">
        <v>677</v>
      </c>
      <c r="S28" s="27">
        <v>0</v>
      </c>
      <c r="T28" s="8" t="s">
        <v>677</v>
      </c>
      <c r="U28" s="27">
        <f>IF(MIN(E28,G28,I28,K28,M28,O28,Q28,S28)&lt;0, MIN(E28,G28,I28,K28,M28,O28,Q28,S28), SMALL(E28:T28,COUNTIF(E28:T28,0)+1)) * 공사설정!$C$24 / 100*AL28/ 100</f>
        <v>5493</v>
      </c>
      <c r="V28" s="27">
        <f xml:space="preserve"> 0 * 공사설정!$C$25 / 100*AM28/ 100</f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f t="shared" si="2"/>
        <v>0</v>
      </c>
      <c r="AF28" s="10" t="s">
        <v>1034</v>
      </c>
      <c r="AG28" s="10" t="s">
        <v>677</v>
      </c>
      <c r="AH28" s="10" t="s">
        <v>677</v>
      </c>
      <c r="AI28" s="10" t="s">
        <v>677</v>
      </c>
      <c r="AK28" s="10" t="s">
        <v>677</v>
      </c>
      <c r="AL28" s="22">
        <v>100</v>
      </c>
      <c r="AM28" s="22">
        <v>100</v>
      </c>
      <c r="AN28" s="17">
        <v>100</v>
      </c>
    </row>
    <row r="29" spans="1:40" ht="30" customHeight="1" x14ac:dyDescent="0.3">
      <c r="A29" s="10" t="s">
        <v>684</v>
      </c>
      <c r="B29" s="10" t="s">
        <v>1162</v>
      </c>
      <c r="C29" s="10"/>
      <c r="D29" s="10" t="s">
        <v>1160</v>
      </c>
      <c r="E29" s="27">
        <v>0</v>
      </c>
      <c r="F29" s="8" t="s">
        <v>677</v>
      </c>
      <c r="G29" s="27">
        <v>0</v>
      </c>
      <c r="H29" s="8" t="s">
        <v>677</v>
      </c>
      <c r="I29" s="27">
        <v>0</v>
      </c>
      <c r="J29" s="8" t="s">
        <v>677</v>
      </c>
      <c r="K29" s="27">
        <v>0</v>
      </c>
      <c r="L29" s="8" t="s">
        <v>677</v>
      </c>
      <c r="M29" s="27">
        <v>0</v>
      </c>
      <c r="N29" s="8" t="s">
        <v>677</v>
      </c>
      <c r="O29" s="27">
        <v>210000</v>
      </c>
      <c r="P29" s="8" t="s">
        <v>1163</v>
      </c>
      <c r="Q29" s="27">
        <v>0</v>
      </c>
      <c r="R29" s="8" t="s">
        <v>677</v>
      </c>
      <c r="S29" s="27">
        <v>0</v>
      </c>
      <c r="T29" s="8" t="s">
        <v>677</v>
      </c>
      <c r="U29" s="27">
        <f>IF(MIN(E29,G29,I29,K29,M29,O29,Q29,S29)&lt;0, MIN(E29,G29,I29,K29,M29,O29,Q29,S29), SMALL(E29:T29,COUNTIF(E29:T29,0)+1)) * 공사설정!$C$24 / 100*AL29/ 100</f>
        <v>210000</v>
      </c>
      <c r="V29" s="27">
        <f xml:space="preserve"> 0 * 공사설정!$C$25 / 100*AM29/ 100</f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f t="shared" si="2"/>
        <v>0</v>
      </c>
      <c r="AF29" s="10" t="s">
        <v>210</v>
      </c>
      <c r="AG29" s="10" t="s">
        <v>677</v>
      </c>
      <c r="AH29" s="10" t="s">
        <v>677</v>
      </c>
      <c r="AI29" s="10" t="s">
        <v>677</v>
      </c>
      <c r="AK29" s="10" t="s">
        <v>677</v>
      </c>
      <c r="AL29" s="22">
        <v>100</v>
      </c>
      <c r="AM29" s="22">
        <v>100</v>
      </c>
      <c r="AN29" s="17">
        <v>100</v>
      </c>
    </row>
    <row r="30" spans="1:40" ht="30" customHeight="1" x14ac:dyDescent="0.3">
      <c r="A30" s="10" t="s">
        <v>720</v>
      </c>
      <c r="B30" s="10" t="s">
        <v>1165</v>
      </c>
      <c r="C30" s="10" t="s">
        <v>1166</v>
      </c>
      <c r="D30" s="10" t="s">
        <v>1167</v>
      </c>
      <c r="E30" s="27">
        <v>0</v>
      </c>
      <c r="F30" s="8" t="s">
        <v>677</v>
      </c>
      <c r="G30" s="27">
        <v>0</v>
      </c>
      <c r="H30" s="8" t="s">
        <v>677</v>
      </c>
      <c r="I30" s="27">
        <v>0</v>
      </c>
      <c r="J30" s="8" t="s">
        <v>677</v>
      </c>
      <c r="K30" s="27">
        <v>0</v>
      </c>
      <c r="L30" s="8" t="s">
        <v>677</v>
      </c>
      <c r="M30" s="27">
        <v>0</v>
      </c>
      <c r="N30" s="8" t="s">
        <v>677</v>
      </c>
      <c r="O30" s="27">
        <v>2120</v>
      </c>
      <c r="P30" s="8" t="s">
        <v>1168</v>
      </c>
      <c r="Q30" s="27">
        <v>0</v>
      </c>
      <c r="R30" s="8" t="s">
        <v>677</v>
      </c>
      <c r="S30" s="27">
        <v>0</v>
      </c>
      <c r="T30" s="8" t="s">
        <v>677</v>
      </c>
      <c r="U30" s="27">
        <f>IF(MIN(E30,G30,I30,K30,M30,O30,Q30,S30)&lt;0, MIN(E30,G30,I30,K30,M30,O30,Q30,S30), SMALL(E30:T30,COUNTIF(E30:T30,0)+1)) * 공사설정!$C$24 / 100*AL30/ 100</f>
        <v>2120</v>
      </c>
      <c r="V30" s="27">
        <f xml:space="preserve"> 0 * 공사설정!$C$25 / 100*AM30/ 100</f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f t="shared" si="2"/>
        <v>0</v>
      </c>
      <c r="AF30" s="10" t="s">
        <v>70</v>
      </c>
      <c r="AG30" s="10" t="s">
        <v>677</v>
      </c>
      <c r="AH30" s="10" t="s">
        <v>677</v>
      </c>
      <c r="AI30" s="10" t="s">
        <v>677</v>
      </c>
      <c r="AK30" s="10" t="s">
        <v>677</v>
      </c>
      <c r="AL30" s="22">
        <v>100</v>
      </c>
      <c r="AM30" s="22">
        <v>100</v>
      </c>
      <c r="AN30" s="17">
        <v>100</v>
      </c>
    </row>
    <row r="31" spans="1:40" ht="30" customHeight="1" x14ac:dyDescent="0.3">
      <c r="A31" s="10" t="s">
        <v>142</v>
      </c>
      <c r="B31" s="10" t="s">
        <v>20</v>
      </c>
      <c r="C31" s="10" t="s">
        <v>841</v>
      </c>
      <c r="D31" s="10" t="s">
        <v>240</v>
      </c>
      <c r="E31" s="27">
        <v>0</v>
      </c>
      <c r="F31" s="8" t="s">
        <v>677</v>
      </c>
      <c r="G31" s="27">
        <v>3494.44</v>
      </c>
      <c r="H31" s="8" t="s">
        <v>664</v>
      </c>
      <c r="I31" s="27">
        <v>3722.22</v>
      </c>
      <c r="J31" s="8" t="s">
        <v>806</v>
      </c>
      <c r="K31" s="27">
        <v>0</v>
      </c>
      <c r="L31" s="8" t="s">
        <v>677</v>
      </c>
      <c r="M31" s="27">
        <v>0</v>
      </c>
      <c r="N31" s="8" t="s">
        <v>677</v>
      </c>
      <c r="O31" s="27">
        <v>0</v>
      </c>
      <c r="P31" s="8" t="s">
        <v>677</v>
      </c>
      <c r="Q31" s="27">
        <v>0</v>
      </c>
      <c r="R31" s="8" t="s">
        <v>677</v>
      </c>
      <c r="S31" s="27">
        <v>0</v>
      </c>
      <c r="T31" s="8" t="s">
        <v>677</v>
      </c>
      <c r="U31" s="27">
        <f>IF(MIN(E31,G31,I31,K31,M31,O31,Q31,S31)&lt;0, MIN(E31,G31,I31,K31,M31,O31,Q31,S31), SMALL(E31:T31,COUNTIF(E31:T31,0)+1)) * 공사설정!$C$24 / 100*AL31/ 100</f>
        <v>3494.44</v>
      </c>
      <c r="V31" s="27">
        <f xml:space="preserve"> 0 * 공사설정!$C$25 / 100*AM31/ 100</f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f t="shared" si="2"/>
        <v>0</v>
      </c>
      <c r="AF31" s="10" t="s">
        <v>81</v>
      </c>
      <c r="AG31" s="10" t="s">
        <v>677</v>
      </c>
      <c r="AH31" s="10" t="s">
        <v>677</v>
      </c>
      <c r="AI31" s="10" t="s">
        <v>677</v>
      </c>
      <c r="AK31" s="10" t="s">
        <v>677</v>
      </c>
      <c r="AL31" s="22">
        <v>100</v>
      </c>
      <c r="AM31" s="22">
        <v>100</v>
      </c>
      <c r="AN31" s="17">
        <v>100</v>
      </c>
    </row>
    <row r="32" spans="1:40" ht="30" customHeight="1" x14ac:dyDescent="0.3">
      <c r="A32" s="10" t="s">
        <v>47</v>
      </c>
      <c r="B32" s="10" t="s">
        <v>1286</v>
      </c>
      <c r="C32" s="10" t="s">
        <v>497</v>
      </c>
      <c r="D32" s="10" t="s">
        <v>242</v>
      </c>
      <c r="E32" s="27">
        <v>0</v>
      </c>
      <c r="F32" s="8" t="s">
        <v>677</v>
      </c>
      <c r="G32" s="27">
        <v>14900</v>
      </c>
      <c r="H32" s="8" t="s">
        <v>495</v>
      </c>
      <c r="I32" s="27">
        <v>0</v>
      </c>
      <c r="J32" s="8" t="s">
        <v>677</v>
      </c>
      <c r="K32" s="27">
        <v>0</v>
      </c>
      <c r="L32" s="8" t="s">
        <v>677</v>
      </c>
      <c r="M32" s="27">
        <v>0</v>
      </c>
      <c r="N32" s="8" t="s">
        <v>677</v>
      </c>
      <c r="O32" s="27">
        <v>0</v>
      </c>
      <c r="P32" s="8" t="s">
        <v>677</v>
      </c>
      <c r="Q32" s="27">
        <v>0</v>
      </c>
      <c r="R32" s="8" t="s">
        <v>677</v>
      </c>
      <c r="S32" s="27">
        <v>0</v>
      </c>
      <c r="T32" s="8" t="s">
        <v>677</v>
      </c>
      <c r="U32" s="27">
        <f>IF(MIN(E32,G32,I32,K32,M32,O32,Q32,S32)&lt;0, MIN(E32,G32,I32,K32,M32,O32,Q32,S32), SMALL(E32:T32,COUNTIF(E32:T32,0)+1)) * 공사설정!$C$24 / 100*AL32/ 100</f>
        <v>14900</v>
      </c>
      <c r="V32" s="27">
        <f xml:space="preserve"> 0 * 공사설정!$C$25 / 100*AM32/ 100</f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f t="shared" si="2"/>
        <v>0</v>
      </c>
      <c r="AF32" s="10" t="s">
        <v>662</v>
      </c>
      <c r="AG32" s="10" t="s">
        <v>677</v>
      </c>
      <c r="AH32" s="10" t="s">
        <v>677</v>
      </c>
      <c r="AI32" s="10" t="s">
        <v>677</v>
      </c>
      <c r="AK32" s="10" t="s">
        <v>677</v>
      </c>
      <c r="AL32" s="22">
        <v>100</v>
      </c>
      <c r="AM32" s="22">
        <v>100</v>
      </c>
      <c r="AN32" s="17">
        <v>100</v>
      </c>
    </row>
    <row r="33" spans="1:40" ht="30" customHeight="1" x14ac:dyDescent="0.3">
      <c r="A33" s="10" t="s">
        <v>780</v>
      </c>
      <c r="B33" s="10" t="s">
        <v>1287</v>
      </c>
      <c r="C33" s="10" t="s">
        <v>87</v>
      </c>
      <c r="D33" s="10" t="s">
        <v>242</v>
      </c>
      <c r="E33" s="27">
        <v>0</v>
      </c>
      <c r="F33" s="8" t="s">
        <v>677</v>
      </c>
      <c r="G33" s="27">
        <v>47250</v>
      </c>
      <c r="H33" s="8" t="s">
        <v>270</v>
      </c>
      <c r="I33" s="27">
        <v>0</v>
      </c>
      <c r="J33" s="8" t="s">
        <v>677</v>
      </c>
      <c r="K33" s="27">
        <v>34290</v>
      </c>
      <c r="L33" s="8" t="s">
        <v>610</v>
      </c>
      <c r="M33" s="27">
        <v>0</v>
      </c>
      <c r="N33" s="8" t="s">
        <v>677</v>
      </c>
      <c r="O33" s="27">
        <v>0</v>
      </c>
      <c r="P33" s="8" t="s">
        <v>677</v>
      </c>
      <c r="Q33" s="27">
        <v>0</v>
      </c>
      <c r="R33" s="8" t="s">
        <v>677</v>
      </c>
      <c r="S33" s="27">
        <v>0</v>
      </c>
      <c r="T33" s="8" t="s">
        <v>677</v>
      </c>
      <c r="U33" s="27">
        <f>IF(MIN(E33,G33,I33,K33,M33,O33,Q33,S33)&lt;0, MIN(E33,G33,I33,K33,M33,O33,Q33,S33), SMALL(E33:T33,COUNTIF(E33:T33,0)+1)) * 공사설정!$C$24 / 100*AL33/ 100</f>
        <v>34290</v>
      </c>
      <c r="V33" s="27">
        <f xml:space="preserve"> 0 * 공사설정!$C$25 / 100*AM33/ 100</f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f t="shared" si="2"/>
        <v>0</v>
      </c>
      <c r="AF33" s="10" t="s">
        <v>893</v>
      </c>
      <c r="AG33" s="10" t="s">
        <v>677</v>
      </c>
      <c r="AH33" s="10" t="s">
        <v>677</v>
      </c>
      <c r="AI33" s="10" t="s">
        <v>677</v>
      </c>
      <c r="AK33" s="10" t="s">
        <v>677</v>
      </c>
      <c r="AL33" s="22">
        <v>100</v>
      </c>
      <c r="AM33" s="22">
        <v>100</v>
      </c>
      <c r="AN33" s="17">
        <v>100</v>
      </c>
    </row>
    <row r="34" spans="1:40" ht="30" customHeight="1" x14ac:dyDescent="0.3">
      <c r="A34" s="10" t="s">
        <v>590</v>
      </c>
      <c r="B34" s="10" t="s">
        <v>811</v>
      </c>
      <c r="C34" s="10" t="s">
        <v>167</v>
      </c>
      <c r="D34" s="10" t="s">
        <v>100</v>
      </c>
      <c r="E34" s="27">
        <v>1</v>
      </c>
      <c r="F34" s="8" t="s">
        <v>677</v>
      </c>
      <c r="G34" s="27">
        <v>0</v>
      </c>
      <c r="H34" s="8" t="s">
        <v>677</v>
      </c>
      <c r="I34" s="27">
        <v>0</v>
      </c>
      <c r="J34" s="8" t="s">
        <v>677</v>
      </c>
      <c r="K34" s="27">
        <v>0</v>
      </c>
      <c r="L34" s="8" t="s">
        <v>677</v>
      </c>
      <c r="M34" s="27">
        <v>0</v>
      </c>
      <c r="N34" s="8" t="s">
        <v>677</v>
      </c>
      <c r="O34" s="27">
        <v>0</v>
      </c>
      <c r="P34" s="8" t="s">
        <v>677</v>
      </c>
      <c r="Q34" s="27">
        <v>0</v>
      </c>
      <c r="R34" s="8" t="s">
        <v>677</v>
      </c>
      <c r="S34" s="27">
        <v>0</v>
      </c>
      <c r="T34" s="8" t="s">
        <v>677</v>
      </c>
      <c r="U34" s="27">
        <f>IF(MIN(E34,G34,I34,K34,M34,O34,Q34,S34)&lt;0, MIN(E34,G34,I34,K34,M34,O34,Q34,S34), SMALL(E34:T34,COUNTIF(E34:T34,0)+1)) * 공사설정!$C$24 / 100*AL34/ 100</f>
        <v>1</v>
      </c>
      <c r="V34" s="27">
        <f xml:space="preserve"> 0 * 공사설정!$C$25 / 100*AM34/ 100</f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f t="shared" si="2"/>
        <v>0</v>
      </c>
      <c r="AF34" s="10" t="s">
        <v>723</v>
      </c>
      <c r="AG34" s="10" t="s">
        <v>677</v>
      </c>
      <c r="AH34" s="10" t="s">
        <v>677</v>
      </c>
      <c r="AI34" s="10" t="s">
        <v>677</v>
      </c>
      <c r="AK34" s="10" t="s">
        <v>677</v>
      </c>
      <c r="AL34" s="22">
        <v>100</v>
      </c>
      <c r="AM34" s="22">
        <v>100</v>
      </c>
      <c r="AN34" s="17">
        <v>100</v>
      </c>
    </row>
    <row r="35" spans="1:40" ht="30" customHeight="1" x14ac:dyDescent="0.3">
      <c r="A35" s="10" t="s">
        <v>462</v>
      </c>
      <c r="B35" s="10" t="s">
        <v>1123</v>
      </c>
      <c r="C35" s="33" t="s">
        <v>1124</v>
      </c>
      <c r="D35" s="10" t="s">
        <v>933</v>
      </c>
      <c r="E35" s="27">
        <v>0</v>
      </c>
      <c r="F35" s="8"/>
      <c r="G35" s="27">
        <v>9200</v>
      </c>
      <c r="H35" s="8" t="s">
        <v>1125</v>
      </c>
      <c r="I35" s="27">
        <v>3610</v>
      </c>
      <c r="J35" s="8" t="s">
        <v>1126</v>
      </c>
      <c r="K35" s="27">
        <v>0</v>
      </c>
      <c r="L35" s="8"/>
      <c r="M35" s="27">
        <v>0</v>
      </c>
      <c r="N35" s="8"/>
      <c r="O35" s="27">
        <v>0</v>
      </c>
      <c r="P35" s="8"/>
      <c r="Q35" s="27">
        <v>0</v>
      </c>
      <c r="R35" s="8"/>
      <c r="S35" s="27">
        <v>0</v>
      </c>
      <c r="T35" s="8"/>
      <c r="U35" s="27">
        <f>IF(MIN(E35,G35,I35,K35,M35,O35,Q35,S35)&lt;0, MIN(E35,G35,I35,K35,M35,O35,Q35,S35), SMALL(E35:T35,COUNTIF(E35:T35,0)+1)) * 공사설정!$C$24 / 100*AL35/ 100</f>
        <v>3610</v>
      </c>
      <c r="V35" s="27">
        <f xml:space="preserve"> 0 * 공사설정!$C$25 / 100*AM35/ 100</f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f t="shared" ref="AE35" si="4">0*AN35/ 100</f>
        <v>0</v>
      </c>
      <c r="AF35" s="10" t="s">
        <v>984</v>
      </c>
      <c r="AG35" s="10"/>
      <c r="AH35" s="10" t="s">
        <v>677</v>
      </c>
      <c r="AI35" s="10" t="s">
        <v>677</v>
      </c>
      <c r="AK35" s="10" t="s">
        <v>677</v>
      </c>
      <c r="AL35" s="22">
        <v>100</v>
      </c>
      <c r="AM35" s="22">
        <v>100</v>
      </c>
      <c r="AN35" s="17">
        <v>100</v>
      </c>
    </row>
    <row r="36" spans="1:40" ht="30" customHeight="1" x14ac:dyDescent="0.3">
      <c r="A36" s="10" t="s">
        <v>217</v>
      </c>
      <c r="B36" s="10" t="s">
        <v>742</v>
      </c>
      <c r="C36" s="10" t="s">
        <v>517</v>
      </c>
      <c r="D36" s="10" t="s">
        <v>801</v>
      </c>
      <c r="E36" s="27">
        <v>0</v>
      </c>
      <c r="F36" s="8" t="s">
        <v>677</v>
      </c>
      <c r="G36" s="27">
        <v>0</v>
      </c>
      <c r="H36" s="8" t="s">
        <v>677</v>
      </c>
      <c r="I36" s="27">
        <v>0</v>
      </c>
      <c r="J36" s="8" t="s">
        <v>677</v>
      </c>
      <c r="K36" s="27">
        <v>37000</v>
      </c>
      <c r="L36" s="8" t="s">
        <v>766</v>
      </c>
      <c r="M36" s="27">
        <v>0</v>
      </c>
      <c r="N36" s="8" t="s">
        <v>677</v>
      </c>
      <c r="O36" s="27">
        <v>0</v>
      </c>
      <c r="P36" s="8" t="s">
        <v>677</v>
      </c>
      <c r="Q36" s="27">
        <v>0</v>
      </c>
      <c r="R36" s="8" t="s">
        <v>677</v>
      </c>
      <c r="S36" s="27">
        <v>0</v>
      </c>
      <c r="T36" s="8" t="s">
        <v>677</v>
      </c>
      <c r="U36" s="27">
        <f>IF(MIN(E36,G36,I36,K36,M36,O36,Q36,S36)&lt;0, MIN(E36,G36,I36,K36,M36,O36,Q36,S36), SMALL(E36:T36,COUNTIF(E36:T36,0)+1)) * 공사설정!$C$24 / 100*AL36/ 100</f>
        <v>37000</v>
      </c>
      <c r="V36" s="27">
        <f xml:space="preserve"> 0 * 공사설정!$C$25 / 100*AM36/ 100</f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f t="shared" si="2"/>
        <v>0</v>
      </c>
      <c r="AF36" s="10" t="s">
        <v>556</v>
      </c>
      <c r="AG36" s="10" t="s">
        <v>677</v>
      </c>
      <c r="AH36" s="10" t="s">
        <v>677</v>
      </c>
      <c r="AI36" s="10" t="s">
        <v>677</v>
      </c>
      <c r="AK36" s="10" t="s">
        <v>677</v>
      </c>
      <c r="AL36" s="22">
        <v>100</v>
      </c>
      <c r="AM36" s="22">
        <v>100</v>
      </c>
      <c r="AN36" s="17">
        <v>100</v>
      </c>
    </row>
    <row r="37" spans="1:40" ht="30" customHeight="1" x14ac:dyDescent="0.3">
      <c r="A37" s="10" t="s">
        <v>43</v>
      </c>
      <c r="B37" s="10" t="s">
        <v>977</v>
      </c>
      <c r="C37" s="10" t="s">
        <v>220</v>
      </c>
      <c r="D37" s="10" t="s">
        <v>526</v>
      </c>
      <c r="E37" s="27">
        <v>0</v>
      </c>
      <c r="F37" s="8" t="s">
        <v>677</v>
      </c>
      <c r="G37" s="27">
        <v>0</v>
      </c>
      <c r="H37" s="8" t="s">
        <v>677</v>
      </c>
      <c r="I37" s="27">
        <v>0</v>
      </c>
      <c r="J37" s="8" t="s">
        <v>677</v>
      </c>
      <c r="K37" s="27">
        <v>0</v>
      </c>
      <c r="L37" s="8" t="s">
        <v>677</v>
      </c>
      <c r="M37" s="27">
        <v>0</v>
      </c>
      <c r="N37" s="8" t="s">
        <v>677</v>
      </c>
      <c r="O37" s="27">
        <v>0</v>
      </c>
      <c r="P37" s="8" t="s">
        <v>677</v>
      </c>
      <c r="Q37" s="27">
        <v>0</v>
      </c>
      <c r="R37" s="8" t="s">
        <v>677</v>
      </c>
      <c r="S37" s="27">
        <v>0</v>
      </c>
      <c r="T37" s="8" t="s">
        <v>677</v>
      </c>
      <c r="U37" s="27">
        <f t="shared" ref="U37:U69" si="5">0*AL37/ 100</f>
        <v>0</v>
      </c>
      <c r="V37" s="27">
        <f xml:space="preserve"> 153671 * 공사설정!$C$25 / 100*AM37/ 100</f>
        <v>153671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f t="shared" si="2"/>
        <v>0</v>
      </c>
      <c r="AF37" s="10" t="s">
        <v>122</v>
      </c>
      <c r="AG37" s="10" t="s">
        <v>677</v>
      </c>
      <c r="AH37" s="10" t="s">
        <v>1022</v>
      </c>
      <c r="AI37" s="10" t="s">
        <v>677</v>
      </c>
      <c r="AK37" s="10" t="s">
        <v>1010</v>
      </c>
      <c r="AL37" s="22">
        <v>100</v>
      </c>
      <c r="AM37" s="22">
        <v>100</v>
      </c>
      <c r="AN37" s="17">
        <v>100</v>
      </c>
    </row>
    <row r="38" spans="1:40" ht="30" customHeight="1" x14ac:dyDescent="0.3">
      <c r="A38" s="10" t="s">
        <v>1041</v>
      </c>
      <c r="B38" s="10" t="s">
        <v>413</v>
      </c>
      <c r="C38" s="10" t="s">
        <v>220</v>
      </c>
      <c r="D38" s="10" t="s">
        <v>526</v>
      </c>
      <c r="E38" s="27">
        <v>0</v>
      </c>
      <c r="F38" s="8" t="s">
        <v>677</v>
      </c>
      <c r="G38" s="27">
        <v>0</v>
      </c>
      <c r="H38" s="8" t="s">
        <v>677</v>
      </c>
      <c r="I38" s="27">
        <v>0</v>
      </c>
      <c r="J38" s="8" t="s">
        <v>677</v>
      </c>
      <c r="K38" s="27">
        <v>0</v>
      </c>
      <c r="L38" s="8" t="s">
        <v>677</v>
      </c>
      <c r="M38" s="27">
        <v>0</v>
      </c>
      <c r="N38" s="8" t="s">
        <v>677</v>
      </c>
      <c r="O38" s="27">
        <v>0</v>
      </c>
      <c r="P38" s="8" t="s">
        <v>677</v>
      </c>
      <c r="Q38" s="27">
        <v>0</v>
      </c>
      <c r="R38" s="8" t="s">
        <v>677</v>
      </c>
      <c r="S38" s="27">
        <v>0</v>
      </c>
      <c r="T38" s="8" t="s">
        <v>677</v>
      </c>
      <c r="U38" s="27">
        <f t="shared" si="5"/>
        <v>0</v>
      </c>
      <c r="V38" s="27">
        <f xml:space="preserve"> 192375 * 공사설정!$C$25 / 100*AM38/ 100</f>
        <v>192375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f t="shared" si="2"/>
        <v>0</v>
      </c>
      <c r="AF38" s="10" t="s">
        <v>613</v>
      </c>
      <c r="AG38" s="10" t="s">
        <v>677</v>
      </c>
      <c r="AH38" s="10" t="s">
        <v>1022</v>
      </c>
      <c r="AI38" s="10" t="s">
        <v>677</v>
      </c>
      <c r="AK38" s="10" t="s">
        <v>1010</v>
      </c>
      <c r="AL38" s="22">
        <v>100</v>
      </c>
      <c r="AM38" s="22">
        <v>100</v>
      </c>
      <c r="AN38" s="17">
        <v>100</v>
      </c>
    </row>
    <row r="39" spans="1:40" ht="30" customHeight="1" x14ac:dyDescent="0.3">
      <c r="A39" s="10" t="s">
        <v>555</v>
      </c>
      <c r="B39" s="10" t="s">
        <v>349</v>
      </c>
      <c r="C39" s="10" t="s">
        <v>220</v>
      </c>
      <c r="D39" s="10" t="s">
        <v>526</v>
      </c>
      <c r="E39" s="27">
        <v>0</v>
      </c>
      <c r="F39" s="8" t="s">
        <v>677</v>
      </c>
      <c r="G39" s="27">
        <v>0</v>
      </c>
      <c r="H39" s="8" t="s">
        <v>677</v>
      </c>
      <c r="I39" s="27">
        <v>0</v>
      </c>
      <c r="J39" s="8" t="s">
        <v>677</v>
      </c>
      <c r="K39" s="27">
        <v>0</v>
      </c>
      <c r="L39" s="8" t="s">
        <v>677</v>
      </c>
      <c r="M39" s="27">
        <v>0</v>
      </c>
      <c r="N39" s="8" t="s">
        <v>677</v>
      </c>
      <c r="O39" s="27">
        <v>0</v>
      </c>
      <c r="P39" s="8" t="s">
        <v>677</v>
      </c>
      <c r="Q39" s="27">
        <v>0</v>
      </c>
      <c r="R39" s="8" t="s">
        <v>677</v>
      </c>
      <c r="S39" s="27">
        <v>0</v>
      </c>
      <c r="T39" s="8" t="s">
        <v>677</v>
      </c>
      <c r="U39" s="27">
        <f t="shared" si="5"/>
        <v>0</v>
      </c>
      <c r="V39" s="27">
        <f xml:space="preserve"> 269039 * 공사설정!$C$25 / 100*AM39/ 100</f>
        <v>269039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f t="shared" si="2"/>
        <v>0</v>
      </c>
      <c r="AF39" s="10" t="s">
        <v>834</v>
      </c>
      <c r="AG39" s="10" t="s">
        <v>677</v>
      </c>
      <c r="AH39" s="10" t="s">
        <v>1022</v>
      </c>
      <c r="AI39" s="10" t="s">
        <v>677</v>
      </c>
      <c r="AK39" s="10" t="s">
        <v>1010</v>
      </c>
      <c r="AL39" s="22">
        <v>100</v>
      </c>
      <c r="AM39" s="22">
        <v>100</v>
      </c>
      <c r="AN39" s="17">
        <v>100</v>
      </c>
    </row>
    <row r="40" spans="1:40" ht="30" customHeight="1" x14ac:dyDescent="0.3">
      <c r="A40" s="10" t="s">
        <v>540</v>
      </c>
      <c r="B40" s="10" t="s">
        <v>280</v>
      </c>
      <c r="C40" s="10" t="s">
        <v>220</v>
      </c>
      <c r="D40" s="10" t="s">
        <v>526</v>
      </c>
      <c r="E40" s="27">
        <v>0</v>
      </c>
      <c r="F40" s="8" t="s">
        <v>677</v>
      </c>
      <c r="G40" s="27">
        <v>0</v>
      </c>
      <c r="H40" s="8" t="s">
        <v>677</v>
      </c>
      <c r="I40" s="27">
        <v>0</v>
      </c>
      <c r="J40" s="8" t="s">
        <v>677</v>
      </c>
      <c r="K40" s="27">
        <v>0</v>
      </c>
      <c r="L40" s="8" t="s">
        <v>677</v>
      </c>
      <c r="M40" s="27">
        <v>0</v>
      </c>
      <c r="N40" s="8" t="s">
        <v>677</v>
      </c>
      <c r="O40" s="27">
        <v>0</v>
      </c>
      <c r="P40" s="8" t="s">
        <v>677</v>
      </c>
      <c r="Q40" s="27">
        <v>0</v>
      </c>
      <c r="R40" s="8" t="s">
        <v>677</v>
      </c>
      <c r="S40" s="27">
        <v>0</v>
      </c>
      <c r="T40" s="8" t="s">
        <v>677</v>
      </c>
      <c r="U40" s="27">
        <f t="shared" si="5"/>
        <v>0</v>
      </c>
      <c r="V40" s="27">
        <f xml:space="preserve"> 246376 * 공사설정!$C$25 / 100*AM40/ 100</f>
        <v>246376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f t="shared" si="2"/>
        <v>0</v>
      </c>
      <c r="AF40" s="10" t="s">
        <v>518</v>
      </c>
      <c r="AG40" s="10" t="s">
        <v>677</v>
      </c>
      <c r="AH40" s="10" t="s">
        <v>1022</v>
      </c>
      <c r="AI40" s="10" t="s">
        <v>677</v>
      </c>
      <c r="AK40" s="10" t="s">
        <v>1010</v>
      </c>
      <c r="AL40" s="22">
        <v>100</v>
      </c>
      <c r="AM40" s="22">
        <v>100</v>
      </c>
      <c r="AN40" s="17">
        <v>100</v>
      </c>
    </row>
    <row r="41" spans="1:40" ht="30" customHeight="1" x14ac:dyDescent="0.3">
      <c r="A41" s="10" t="s">
        <v>272</v>
      </c>
      <c r="B41" s="10" t="s">
        <v>129</v>
      </c>
      <c r="C41" s="10" t="s">
        <v>220</v>
      </c>
      <c r="D41" s="10" t="s">
        <v>526</v>
      </c>
      <c r="E41" s="27">
        <v>0</v>
      </c>
      <c r="F41" s="8" t="s">
        <v>677</v>
      </c>
      <c r="G41" s="27">
        <v>0</v>
      </c>
      <c r="H41" s="8" t="s">
        <v>677</v>
      </c>
      <c r="I41" s="27">
        <v>0</v>
      </c>
      <c r="J41" s="8" t="s">
        <v>677</v>
      </c>
      <c r="K41" s="27">
        <v>0</v>
      </c>
      <c r="L41" s="8" t="s">
        <v>677</v>
      </c>
      <c r="M41" s="27">
        <v>0</v>
      </c>
      <c r="N41" s="8" t="s">
        <v>677</v>
      </c>
      <c r="O41" s="27">
        <v>0</v>
      </c>
      <c r="P41" s="8" t="s">
        <v>677</v>
      </c>
      <c r="Q41" s="27">
        <v>0</v>
      </c>
      <c r="R41" s="8" t="s">
        <v>677</v>
      </c>
      <c r="S41" s="27">
        <v>0</v>
      </c>
      <c r="T41" s="8" t="s">
        <v>677</v>
      </c>
      <c r="U41" s="27">
        <f t="shared" si="5"/>
        <v>0</v>
      </c>
      <c r="V41" s="27">
        <f xml:space="preserve"> 240080 * 공사설정!$C$25 / 100*AM41/ 100</f>
        <v>240080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f t="shared" si="2"/>
        <v>0</v>
      </c>
      <c r="AF41" s="10" t="s">
        <v>887</v>
      </c>
      <c r="AG41" s="10" t="s">
        <v>677</v>
      </c>
      <c r="AH41" s="10" t="s">
        <v>1022</v>
      </c>
      <c r="AI41" s="10" t="s">
        <v>677</v>
      </c>
      <c r="AK41" s="10" t="s">
        <v>677</v>
      </c>
      <c r="AL41" s="22">
        <v>100</v>
      </c>
      <c r="AM41" s="22">
        <v>100</v>
      </c>
      <c r="AN41" s="17">
        <v>100</v>
      </c>
    </row>
    <row r="42" spans="1:40" ht="30" customHeight="1" x14ac:dyDescent="0.3">
      <c r="A42" s="10" t="s">
        <v>680</v>
      </c>
      <c r="B42" s="10" t="s">
        <v>115</v>
      </c>
      <c r="C42" s="10" t="s">
        <v>220</v>
      </c>
      <c r="D42" s="10" t="s">
        <v>526</v>
      </c>
      <c r="E42" s="27">
        <v>0</v>
      </c>
      <c r="F42" s="8" t="s">
        <v>677</v>
      </c>
      <c r="G42" s="27">
        <v>0</v>
      </c>
      <c r="H42" s="8" t="s">
        <v>677</v>
      </c>
      <c r="I42" s="27">
        <v>0</v>
      </c>
      <c r="J42" s="8" t="s">
        <v>677</v>
      </c>
      <c r="K42" s="27">
        <v>0</v>
      </c>
      <c r="L42" s="8" t="s">
        <v>677</v>
      </c>
      <c r="M42" s="27">
        <v>0</v>
      </c>
      <c r="N42" s="8" t="s">
        <v>677</v>
      </c>
      <c r="O42" s="27">
        <v>0</v>
      </c>
      <c r="P42" s="8" t="s">
        <v>677</v>
      </c>
      <c r="Q42" s="27">
        <v>0</v>
      </c>
      <c r="R42" s="8" t="s">
        <v>677</v>
      </c>
      <c r="S42" s="27">
        <v>0</v>
      </c>
      <c r="T42" s="8" t="s">
        <v>677</v>
      </c>
      <c r="U42" s="27">
        <f t="shared" si="5"/>
        <v>0</v>
      </c>
      <c r="V42" s="27">
        <f xml:space="preserve"> 216712 * 공사설정!$C$25 / 100*AM42/ 100</f>
        <v>216712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f t="shared" si="2"/>
        <v>0</v>
      </c>
      <c r="AF42" s="10" t="s">
        <v>59</v>
      </c>
      <c r="AG42" s="10" t="s">
        <v>677</v>
      </c>
      <c r="AH42" s="10" t="s">
        <v>1022</v>
      </c>
      <c r="AI42" s="10" t="s">
        <v>677</v>
      </c>
      <c r="AK42" s="10" t="s">
        <v>677</v>
      </c>
      <c r="AL42" s="22">
        <v>100</v>
      </c>
      <c r="AM42" s="22">
        <v>100</v>
      </c>
      <c r="AN42" s="17">
        <v>100</v>
      </c>
    </row>
    <row r="43" spans="1:40" ht="30" customHeight="1" x14ac:dyDescent="0.3">
      <c r="A43" s="10" t="s">
        <v>899</v>
      </c>
      <c r="B43" s="10" t="s">
        <v>499</v>
      </c>
      <c r="C43" s="10" t="s">
        <v>220</v>
      </c>
      <c r="D43" s="10" t="s">
        <v>526</v>
      </c>
      <c r="E43" s="27">
        <v>0</v>
      </c>
      <c r="F43" s="8" t="s">
        <v>677</v>
      </c>
      <c r="G43" s="27">
        <v>0</v>
      </c>
      <c r="H43" s="8" t="s">
        <v>677</v>
      </c>
      <c r="I43" s="27">
        <v>0</v>
      </c>
      <c r="J43" s="8" t="s">
        <v>677</v>
      </c>
      <c r="K43" s="27">
        <v>0</v>
      </c>
      <c r="L43" s="8" t="s">
        <v>677</v>
      </c>
      <c r="M43" s="27">
        <v>0</v>
      </c>
      <c r="N43" s="8" t="s">
        <v>677</v>
      </c>
      <c r="O43" s="27">
        <v>0</v>
      </c>
      <c r="P43" s="8" t="s">
        <v>677</v>
      </c>
      <c r="Q43" s="27">
        <v>0</v>
      </c>
      <c r="R43" s="8" t="s">
        <v>677</v>
      </c>
      <c r="S43" s="27">
        <v>0</v>
      </c>
      <c r="T43" s="8" t="s">
        <v>677</v>
      </c>
      <c r="U43" s="27">
        <f t="shared" si="5"/>
        <v>0</v>
      </c>
      <c r="V43" s="27">
        <f xml:space="preserve"> 238739 * 공사설정!$C$25 / 100*AM43/ 100</f>
        <v>238739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f t="shared" si="2"/>
        <v>0</v>
      </c>
      <c r="AF43" s="10" t="s">
        <v>591</v>
      </c>
      <c r="AG43" s="10" t="s">
        <v>677</v>
      </c>
      <c r="AH43" s="10" t="s">
        <v>1022</v>
      </c>
      <c r="AI43" s="10" t="s">
        <v>677</v>
      </c>
      <c r="AK43" s="10" t="s">
        <v>677</v>
      </c>
      <c r="AL43" s="22">
        <v>100</v>
      </c>
      <c r="AM43" s="22">
        <v>100</v>
      </c>
      <c r="AN43" s="17">
        <v>100</v>
      </c>
    </row>
    <row r="44" spans="1:40" ht="30" customHeight="1" x14ac:dyDescent="0.3">
      <c r="A44" s="10" t="s">
        <v>340</v>
      </c>
      <c r="B44" s="10" t="s">
        <v>859</v>
      </c>
      <c r="C44" s="10" t="s">
        <v>220</v>
      </c>
      <c r="D44" s="10" t="s">
        <v>526</v>
      </c>
      <c r="E44" s="27">
        <v>0</v>
      </c>
      <c r="F44" s="8" t="s">
        <v>677</v>
      </c>
      <c r="G44" s="27">
        <v>0</v>
      </c>
      <c r="H44" s="8" t="s">
        <v>677</v>
      </c>
      <c r="I44" s="27">
        <v>0</v>
      </c>
      <c r="J44" s="8" t="s">
        <v>677</v>
      </c>
      <c r="K44" s="27">
        <v>0</v>
      </c>
      <c r="L44" s="8" t="s">
        <v>677</v>
      </c>
      <c r="M44" s="27">
        <v>0</v>
      </c>
      <c r="N44" s="8" t="s">
        <v>677</v>
      </c>
      <c r="O44" s="27">
        <v>0</v>
      </c>
      <c r="P44" s="8" t="s">
        <v>677</v>
      </c>
      <c r="Q44" s="27">
        <v>0</v>
      </c>
      <c r="R44" s="8" t="s">
        <v>677</v>
      </c>
      <c r="S44" s="27">
        <v>0</v>
      </c>
      <c r="T44" s="8" t="s">
        <v>677</v>
      </c>
      <c r="U44" s="27">
        <f t="shared" si="5"/>
        <v>0</v>
      </c>
      <c r="V44" s="27">
        <f xml:space="preserve"> 235988 * 공사설정!$C$25 / 100*AM44/ 100</f>
        <v>235988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f t="shared" si="2"/>
        <v>0</v>
      </c>
      <c r="AF44" s="10" t="s">
        <v>108</v>
      </c>
      <c r="AG44" s="10" t="s">
        <v>677</v>
      </c>
      <c r="AH44" s="10" t="s">
        <v>1022</v>
      </c>
      <c r="AI44" s="10" t="s">
        <v>677</v>
      </c>
      <c r="AK44" s="10" t="s">
        <v>677</v>
      </c>
      <c r="AL44" s="22">
        <v>100</v>
      </c>
      <c r="AM44" s="22">
        <v>100</v>
      </c>
      <c r="AN44" s="17">
        <v>100</v>
      </c>
    </row>
    <row r="45" spans="1:40" ht="30" customHeight="1" x14ac:dyDescent="0.3">
      <c r="A45" s="10" t="s">
        <v>337</v>
      </c>
      <c r="B45" s="10" t="s">
        <v>687</v>
      </c>
      <c r="C45" s="10" t="s">
        <v>220</v>
      </c>
      <c r="D45" s="10" t="s">
        <v>526</v>
      </c>
      <c r="E45" s="27">
        <v>0</v>
      </c>
      <c r="F45" s="8" t="s">
        <v>677</v>
      </c>
      <c r="G45" s="27">
        <v>0</v>
      </c>
      <c r="H45" s="8" t="s">
        <v>677</v>
      </c>
      <c r="I45" s="27">
        <v>0</v>
      </c>
      <c r="J45" s="8" t="s">
        <v>677</v>
      </c>
      <c r="K45" s="27">
        <v>0</v>
      </c>
      <c r="L45" s="8" t="s">
        <v>677</v>
      </c>
      <c r="M45" s="27">
        <v>0</v>
      </c>
      <c r="N45" s="8" t="s">
        <v>677</v>
      </c>
      <c r="O45" s="27">
        <v>0</v>
      </c>
      <c r="P45" s="8" t="s">
        <v>677</v>
      </c>
      <c r="Q45" s="27">
        <v>0</v>
      </c>
      <c r="R45" s="8" t="s">
        <v>677</v>
      </c>
      <c r="S45" s="27">
        <v>0</v>
      </c>
      <c r="T45" s="8" t="s">
        <v>677</v>
      </c>
      <c r="U45" s="27">
        <f t="shared" si="5"/>
        <v>0</v>
      </c>
      <c r="V45" s="27">
        <f xml:space="preserve"> 189031 * 공사설정!$C$25 / 100*AM45/ 100</f>
        <v>189031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f t="shared" si="2"/>
        <v>0</v>
      </c>
      <c r="AF45" s="10" t="s">
        <v>735</v>
      </c>
      <c r="AG45" s="10" t="s">
        <v>677</v>
      </c>
      <c r="AH45" s="10" t="s">
        <v>1022</v>
      </c>
      <c r="AI45" s="10" t="s">
        <v>677</v>
      </c>
      <c r="AK45" s="10" t="s">
        <v>1010</v>
      </c>
      <c r="AL45" s="22">
        <v>100</v>
      </c>
      <c r="AM45" s="22">
        <v>100</v>
      </c>
      <c r="AN45" s="17">
        <v>100</v>
      </c>
    </row>
    <row r="46" spans="1:40" ht="30" customHeight="1" x14ac:dyDescent="0.3">
      <c r="A46" s="10" t="s">
        <v>89</v>
      </c>
      <c r="B46" s="10" t="s">
        <v>431</v>
      </c>
      <c r="C46" s="10" t="s">
        <v>220</v>
      </c>
      <c r="D46" s="10" t="s">
        <v>526</v>
      </c>
      <c r="E46" s="27">
        <v>0</v>
      </c>
      <c r="F46" s="8" t="s">
        <v>677</v>
      </c>
      <c r="G46" s="27">
        <v>0</v>
      </c>
      <c r="H46" s="8" t="s">
        <v>677</v>
      </c>
      <c r="I46" s="27">
        <v>0</v>
      </c>
      <c r="J46" s="8" t="s">
        <v>677</v>
      </c>
      <c r="K46" s="27">
        <v>0</v>
      </c>
      <c r="L46" s="8" t="s">
        <v>677</v>
      </c>
      <c r="M46" s="27">
        <v>0</v>
      </c>
      <c r="N46" s="8" t="s">
        <v>677</v>
      </c>
      <c r="O46" s="27">
        <v>0</v>
      </c>
      <c r="P46" s="8" t="s">
        <v>677</v>
      </c>
      <c r="Q46" s="27">
        <v>0</v>
      </c>
      <c r="R46" s="8" t="s">
        <v>677</v>
      </c>
      <c r="S46" s="27">
        <v>0</v>
      </c>
      <c r="T46" s="8" t="s">
        <v>677</v>
      </c>
      <c r="U46" s="27">
        <f t="shared" si="5"/>
        <v>0</v>
      </c>
      <c r="V46" s="27">
        <f xml:space="preserve"> 233781 * 공사설정!$C$25 / 100*AM46/ 100</f>
        <v>233781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f t="shared" si="2"/>
        <v>0</v>
      </c>
      <c r="AF46" s="10" t="s">
        <v>289</v>
      </c>
      <c r="AG46" s="10" t="s">
        <v>677</v>
      </c>
      <c r="AH46" s="10" t="s">
        <v>1022</v>
      </c>
      <c r="AI46" s="10" t="s">
        <v>677</v>
      </c>
      <c r="AK46" s="10" t="s">
        <v>677</v>
      </c>
      <c r="AL46" s="22">
        <v>100</v>
      </c>
      <c r="AM46" s="22">
        <v>100</v>
      </c>
      <c r="AN46" s="17">
        <v>100</v>
      </c>
    </row>
    <row r="47" spans="1:40" ht="30" customHeight="1" x14ac:dyDescent="0.3">
      <c r="A47" s="10" t="s">
        <v>65</v>
      </c>
      <c r="B47" s="10" t="s">
        <v>689</v>
      </c>
      <c r="C47" s="10" t="s">
        <v>220</v>
      </c>
      <c r="D47" s="10" t="s">
        <v>526</v>
      </c>
      <c r="E47" s="27">
        <v>0</v>
      </c>
      <c r="F47" s="8" t="s">
        <v>677</v>
      </c>
      <c r="G47" s="27">
        <v>0</v>
      </c>
      <c r="H47" s="8" t="s">
        <v>677</v>
      </c>
      <c r="I47" s="27">
        <v>0</v>
      </c>
      <c r="J47" s="8" t="s">
        <v>677</v>
      </c>
      <c r="K47" s="27">
        <v>0</v>
      </c>
      <c r="L47" s="8" t="s">
        <v>677</v>
      </c>
      <c r="M47" s="27">
        <v>0</v>
      </c>
      <c r="N47" s="8" t="s">
        <v>677</v>
      </c>
      <c r="O47" s="27">
        <v>0</v>
      </c>
      <c r="P47" s="8" t="s">
        <v>677</v>
      </c>
      <c r="Q47" s="27">
        <v>0</v>
      </c>
      <c r="R47" s="8" t="s">
        <v>677</v>
      </c>
      <c r="S47" s="27">
        <v>0</v>
      </c>
      <c r="T47" s="8" t="s">
        <v>677</v>
      </c>
      <c r="U47" s="27">
        <f t="shared" si="5"/>
        <v>0</v>
      </c>
      <c r="V47" s="27">
        <f xml:space="preserve"> 242631 * 공사설정!$C$25 / 100*AM47/ 100</f>
        <v>242631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f t="shared" si="2"/>
        <v>0</v>
      </c>
      <c r="AF47" s="10" t="s">
        <v>781</v>
      </c>
      <c r="AG47" s="10" t="s">
        <v>677</v>
      </c>
      <c r="AH47" s="10" t="s">
        <v>1022</v>
      </c>
      <c r="AI47" s="10" t="s">
        <v>677</v>
      </c>
      <c r="AK47" s="10" t="s">
        <v>1010</v>
      </c>
      <c r="AL47" s="22">
        <v>100</v>
      </c>
      <c r="AM47" s="22">
        <v>100</v>
      </c>
      <c r="AN47" s="17">
        <v>100</v>
      </c>
    </row>
    <row r="48" spans="1:40" ht="30" customHeight="1" x14ac:dyDescent="0.3">
      <c r="A48" s="10" t="s">
        <v>271</v>
      </c>
      <c r="B48" s="10" t="s">
        <v>441</v>
      </c>
      <c r="C48" s="10" t="s">
        <v>220</v>
      </c>
      <c r="D48" s="10" t="s">
        <v>526</v>
      </c>
      <c r="E48" s="27">
        <v>0</v>
      </c>
      <c r="F48" s="8" t="s">
        <v>677</v>
      </c>
      <c r="G48" s="27">
        <v>0</v>
      </c>
      <c r="H48" s="8" t="s">
        <v>677</v>
      </c>
      <c r="I48" s="27">
        <v>0</v>
      </c>
      <c r="J48" s="8" t="s">
        <v>677</v>
      </c>
      <c r="K48" s="27">
        <v>0</v>
      </c>
      <c r="L48" s="8" t="s">
        <v>677</v>
      </c>
      <c r="M48" s="27">
        <v>0</v>
      </c>
      <c r="N48" s="8" t="s">
        <v>677</v>
      </c>
      <c r="O48" s="27">
        <v>0</v>
      </c>
      <c r="P48" s="8" t="s">
        <v>677</v>
      </c>
      <c r="Q48" s="27">
        <v>0</v>
      </c>
      <c r="R48" s="8" t="s">
        <v>677</v>
      </c>
      <c r="S48" s="27">
        <v>0</v>
      </c>
      <c r="T48" s="8" t="s">
        <v>677</v>
      </c>
      <c r="U48" s="27">
        <f t="shared" si="5"/>
        <v>0</v>
      </c>
      <c r="V48" s="27">
        <f xml:space="preserve"> 235799 * 공사설정!$C$25 / 100*AM48/ 100</f>
        <v>235799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f t="shared" si="2"/>
        <v>0</v>
      </c>
      <c r="AF48" s="10" t="s">
        <v>968</v>
      </c>
      <c r="AG48" s="10" t="s">
        <v>677</v>
      </c>
      <c r="AH48" s="10" t="s">
        <v>1022</v>
      </c>
      <c r="AI48" s="10" t="s">
        <v>677</v>
      </c>
      <c r="AK48" s="10" t="s">
        <v>1010</v>
      </c>
      <c r="AL48" s="22">
        <v>100</v>
      </c>
      <c r="AM48" s="22">
        <v>100</v>
      </c>
      <c r="AN48" s="17">
        <v>100</v>
      </c>
    </row>
    <row r="49" spans="1:40" ht="30" customHeight="1" x14ac:dyDescent="0.3">
      <c r="A49" s="10" t="s">
        <v>760</v>
      </c>
      <c r="B49" s="10" t="s">
        <v>884</v>
      </c>
      <c r="C49" s="10" t="s">
        <v>220</v>
      </c>
      <c r="D49" s="10" t="s">
        <v>526</v>
      </c>
      <c r="E49" s="27">
        <v>0</v>
      </c>
      <c r="F49" s="8" t="s">
        <v>677</v>
      </c>
      <c r="G49" s="27">
        <v>0</v>
      </c>
      <c r="H49" s="8" t="s">
        <v>677</v>
      </c>
      <c r="I49" s="27">
        <v>0</v>
      </c>
      <c r="J49" s="8" t="s">
        <v>677</v>
      </c>
      <c r="K49" s="27">
        <v>0</v>
      </c>
      <c r="L49" s="8" t="s">
        <v>677</v>
      </c>
      <c r="M49" s="27">
        <v>0</v>
      </c>
      <c r="N49" s="8" t="s">
        <v>677</v>
      </c>
      <c r="O49" s="27">
        <v>0</v>
      </c>
      <c r="P49" s="8" t="s">
        <v>677</v>
      </c>
      <c r="Q49" s="27">
        <v>0</v>
      </c>
      <c r="R49" s="8" t="s">
        <v>677</v>
      </c>
      <c r="S49" s="27">
        <v>0</v>
      </c>
      <c r="T49" s="8" t="s">
        <v>677</v>
      </c>
      <c r="U49" s="27">
        <f t="shared" si="5"/>
        <v>0</v>
      </c>
      <c r="V49" s="27">
        <f xml:space="preserve"> 181682 * 공사설정!$C$25 / 100*AM49/ 100</f>
        <v>181682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f t="shared" si="2"/>
        <v>0</v>
      </c>
      <c r="AF49" s="10" t="s">
        <v>442</v>
      </c>
      <c r="AG49" s="10" t="s">
        <v>677</v>
      </c>
      <c r="AH49" s="10" t="s">
        <v>1022</v>
      </c>
      <c r="AI49" s="10" t="s">
        <v>677</v>
      </c>
      <c r="AK49" s="10" t="s">
        <v>677</v>
      </c>
      <c r="AL49" s="22">
        <v>100</v>
      </c>
      <c r="AM49" s="22">
        <v>100</v>
      </c>
      <c r="AN49" s="17">
        <v>100</v>
      </c>
    </row>
    <row r="50" spans="1:40" ht="30" customHeight="1" x14ac:dyDescent="0.3">
      <c r="A50" s="10" t="s">
        <v>138</v>
      </c>
      <c r="B50" s="10" t="s">
        <v>206</v>
      </c>
      <c r="C50" s="10" t="s">
        <v>220</v>
      </c>
      <c r="D50" s="10" t="s">
        <v>526</v>
      </c>
      <c r="E50" s="27">
        <v>0</v>
      </c>
      <c r="F50" s="8" t="s">
        <v>677</v>
      </c>
      <c r="G50" s="27">
        <v>0</v>
      </c>
      <c r="H50" s="8" t="s">
        <v>677</v>
      </c>
      <c r="I50" s="27">
        <v>0</v>
      </c>
      <c r="J50" s="8" t="s">
        <v>677</v>
      </c>
      <c r="K50" s="27">
        <v>0</v>
      </c>
      <c r="L50" s="8" t="s">
        <v>677</v>
      </c>
      <c r="M50" s="27">
        <v>0</v>
      </c>
      <c r="N50" s="8" t="s">
        <v>677</v>
      </c>
      <c r="O50" s="27">
        <v>0</v>
      </c>
      <c r="P50" s="8" t="s">
        <v>677</v>
      </c>
      <c r="Q50" s="27">
        <v>0</v>
      </c>
      <c r="R50" s="8" t="s">
        <v>677</v>
      </c>
      <c r="S50" s="27">
        <v>0</v>
      </c>
      <c r="T50" s="8" t="s">
        <v>677</v>
      </c>
      <c r="U50" s="27">
        <f t="shared" si="5"/>
        <v>0</v>
      </c>
      <c r="V50" s="27">
        <f xml:space="preserve"> 192790 * 공사설정!$C$25 / 100*AM50/ 100</f>
        <v>192790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f t="shared" si="2"/>
        <v>0</v>
      </c>
      <c r="AF50" s="10" t="s">
        <v>403</v>
      </c>
      <c r="AG50" s="10" t="s">
        <v>677</v>
      </c>
      <c r="AH50" s="10" t="s">
        <v>1022</v>
      </c>
      <c r="AI50" s="10" t="s">
        <v>677</v>
      </c>
      <c r="AK50" s="10" t="s">
        <v>1010</v>
      </c>
      <c r="AL50" s="22">
        <v>100</v>
      </c>
      <c r="AM50" s="22">
        <v>100</v>
      </c>
      <c r="AN50" s="17">
        <v>100</v>
      </c>
    </row>
    <row r="51" spans="1:40" ht="30" customHeight="1" x14ac:dyDescent="0.3">
      <c r="A51" s="10" t="s">
        <v>9</v>
      </c>
      <c r="B51" s="10" t="s">
        <v>775</v>
      </c>
      <c r="C51" s="10" t="s">
        <v>220</v>
      </c>
      <c r="D51" s="10" t="s">
        <v>526</v>
      </c>
      <c r="E51" s="27">
        <v>0</v>
      </c>
      <c r="F51" s="8" t="s">
        <v>677</v>
      </c>
      <c r="G51" s="27">
        <v>0</v>
      </c>
      <c r="H51" s="8" t="s">
        <v>677</v>
      </c>
      <c r="I51" s="27">
        <v>0</v>
      </c>
      <c r="J51" s="8" t="s">
        <v>677</v>
      </c>
      <c r="K51" s="27">
        <v>0</v>
      </c>
      <c r="L51" s="8" t="s">
        <v>677</v>
      </c>
      <c r="M51" s="27">
        <v>0</v>
      </c>
      <c r="N51" s="8" t="s">
        <v>677</v>
      </c>
      <c r="O51" s="27">
        <v>0</v>
      </c>
      <c r="P51" s="8" t="s">
        <v>677</v>
      </c>
      <c r="Q51" s="27">
        <v>0</v>
      </c>
      <c r="R51" s="8" t="s">
        <v>677</v>
      </c>
      <c r="S51" s="27">
        <v>0</v>
      </c>
      <c r="T51" s="8" t="s">
        <v>677</v>
      </c>
      <c r="U51" s="27">
        <f t="shared" si="5"/>
        <v>0</v>
      </c>
      <c r="V51" s="27">
        <f xml:space="preserve"> 208255 * 공사설정!$C$25 / 100*AM51/ 100</f>
        <v>208255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f t="shared" si="2"/>
        <v>0</v>
      </c>
      <c r="AF51" s="10" t="s">
        <v>180</v>
      </c>
      <c r="AG51" s="10" t="s">
        <v>677</v>
      </c>
      <c r="AH51" s="10" t="s">
        <v>1022</v>
      </c>
      <c r="AI51" s="10" t="s">
        <v>677</v>
      </c>
      <c r="AK51" s="10" t="s">
        <v>677</v>
      </c>
      <c r="AL51" s="22">
        <v>100</v>
      </c>
      <c r="AM51" s="22">
        <v>100</v>
      </c>
      <c r="AN51" s="17">
        <v>100</v>
      </c>
    </row>
    <row r="52" spans="1:40" ht="30" customHeight="1" x14ac:dyDescent="0.3">
      <c r="A52" s="10" t="s">
        <v>258</v>
      </c>
      <c r="B52" s="10" t="s">
        <v>1003</v>
      </c>
      <c r="C52" s="10" t="s">
        <v>220</v>
      </c>
      <c r="D52" s="10" t="s">
        <v>526</v>
      </c>
      <c r="E52" s="27">
        <v>0</v>
      </c>
      <c r="F52" s="8" t="s">
        <v>677</v>
      </c>
      <c r="G52" s="27">
        <v>0</v>
      </c>
      <c r="H52" s="8" t="s">
        <v>677</v>
      </c>
      <c r="I52" s="27">
        <v>0</v>
      </c>
      <c r="J52" s="8" t="s">
        <v>677</v>
      </c>
      <c r="K52" s="27">
        <v>0</v>
      </c>
      <c r="L52" s="8" t="s">
        <v>677</v>
      </c>
      <c r="M52" s="27">
        <v>0</v>
      </c>
      <c r="N52" s="8" t="s">
        <v>677</v>
      </c>
      <c r="O52" s="27">
        <v>0</v>
      </c>
      <c r="P52" s="8" t="s">
        <v>677</v>
      </c>
      <c r="Q52" s="27">
        <v>0</v>
      </c>
      <c r="R52" s="8" t="s">
        <v>677</v>
      </c>
      <c r="S52" s="27">
        <v>0</v>
      </c>
      <c r="T52" s="8" t="s">
        <v>677</v>
      </c>
      <c r="U52" s="27">
        <f t="shared" si="5"/>
        <v>0</v>
      </c>
      <c r="V52" s="27">
        <f xml:space="preserve"> 230245 * 공사설정!$C$25 / 100*AM52/ 100</f>
        <v>230245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f t="shared" si="2"/>
        <v>0</v>
      </c>
      <c r="AF52" s="10" t="s">
        <v>310</v>
      </c>
      <c r="AG52" s="10" t="s">
        <v>677</v>
      </c>
      <c r="AH52" s="10" t="s">
        <v>1022</v>
      </c>
      <c r="AI52" s="10" t="s">
        <v>677</v>
      </c>
      <c r="AK52" s="10" t="s">
        <v>677</v>
      </c>
      <c r="AL52" s="22">
        <v>100</v>
      </c>
      <c r="AM52" s="22">
        <v>100</v>
      </c>
      <c r="AN52" s="17">
        <v>100</v>
      </c>
    </row>
    <row r="53" spans="1:40" ht="30" customHeight="1" x14ac:dyDescent="0.3">
      <c r="A53" s="10" t="s">
        <v>560</v>
      </c>
      <c r="B53" s="10" t="s">
        <v>695</v>
      </c>
      <c r="C53" s="10" t="s">
        <v>220</v>
      </c>
      <c r="D53" s="10" t="s">
        <v>526</v>
      </c>
      <c r="E53" s="27">
        <v>0</v>
      </c>
      <c r="F53" s="8" t="s">
        <v>677</v>
      </c>
      <c r="G53" s="27">
        <v>0</v>
      </c>
      <c r="H53" s="8" t="s">
        <v>677</v>
      </c>
      <c r="I53" s="27">
        <v>0</v>
      </c>
      <c r="J53" s="8" t="s">
        <v>677</v>
      </c>
      <c r="K53" s="27">
        <v>0</v>
      </c>
      <c r="L53" s="8" t="s">
        <v>677</v>
      </c>
      <c r="M53" s="27">
        <v>0</v>
      </c>
      <c r="N53" s="8" t="s">
        <v>677</v>
      </c>
      <c r="O53" s="27">
        <v>0</v>
      </c>
      <c r="P53" s="8" t="s">
        <v>677</v>
      </c>
      <c r="Q53" s="27">
        <v>0</v>
      </c>
      <c r="R53" s="8" t="s">
        <v>677</v>
      </c>
      <c r="S53" s="27">
        <v>0</v>
      </c>
      <c r="T53" s="8" t="s">
        <v>677</v>
      </c>
      <c r="U53" s="27">
        <f t="shared" si="5"/>
        <v>0</v>
      </c>
      <c r="V53" s="27">
        <f xml:space="preserve"> 151669 * 공사설정!$C$25 / 100*AM53/ 100</f>
        <v>151669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f t="shared" si="2"/>
        <v>0</v>
      </c>
      <c r="AF53" s="10" t="s">
        <v>130</v>
      </c>
      <c r="AG53" s="10" t="s">
        <v>677</v>
      </c>
      <c r="AH53" s="10" t="s">
        <v>1022</v>
      </c>
      <c r="AI53" s="10" t="s">
        <v>677</v>
      </c>
      <c r="AK53" s="10" t="s">
        <v>677</v>
      </c>
      <c r="AL53" s="22">
        <v>100</v>
      </c>
      <c r="AM53" s="22">
        <v>100</v>
      </c>
      <c r="AN53" s="17">
        <v>100</v>
      </c>
    </row>
    <row r="54" spans="1:40" ht="30" customHeight="1" x14ac:dyDescent="0.3">
      <c r="A54" s="10" t="s">
        <v>1184</v>
      </c>
      <c r="B54" s="10" t="s">
        <v>1183</v>
      </c>
      <c r="C54" s="10" t="s">
        <v>220</v>
      </c>
      <c r="D54" s="10" t="s">
        <v>526</v>
      </c>
      <c r="E54" s="27">
        <v>0</v>
      </c>
      <c r="F54" s="8" t="s">
        <v>677</v>
      </c>
      <c r="G54" s="27">
        <v>0</v>
      </c>
      <c r="H54" s="8" t="s">
        <v>677</v>
      </c>
      <c r="I54" s="27">
        <v>0</v>
      </c>
      <c r="J54" s="8" t="s">
        <v>677</v>
      </c>
      <c r="K54" s="27">
        <v>0</v>
      </c>
      <c r="L54" s="8" t="s">
        <v>677</v>
      </c>
      <c r="M54" s="27">
        <v>0</v>
      </c>
      <c r="N54" s="8" t="s">
        <v>677</v>
      </c>
      <c r="O54" s="27">
        <v>0</v>
      </c>
      <c r="P54" s="8" t="s">
        <v>677</v>
      </c>
      <c r="Q54" s="27">
        <v>0</v>
      </c>
      <c r="R54" s="8" t="s">
        <v>677</v>
      </c>
      <c r="S54" s="27">
        <v>0</v>
      </c>
      <c r="T54" s="8" t="s">
        <v>677</v>
      </c>
      <c r="U54" s="27">
        <f t="shared" si="5"/>
        <v>0</v>
      </c>
      <c r="V54" s="27">
        <f xml:space="preserve"> 192000 * [1]공사설정!$C$25 / 100*AM54/ 100</f>
        <v>192000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f t="shared" si="2"/>
        <v>0</v>
      </c>
      <c r="AF54" s="10" t="s">
        <v>1187</v>
      </c>
      <c r="AG54" s="10" t="s">
        <v>677</v>
      </c>
      <c r="AH54" s="10" t="s">
        <v>1022</v>
      </c>
      <c r="AI54" s="10" t="s">
        <v>677</v>
      </c>
      <c r="AK54" s="10" t="s">
        <v>677</v>
      </c>
      <c r="AL54" s="22">
        <v>100</v>
      </c>
      <c r="AM54" s="22">
        <v>100</v>
      </c>
      <c r="AN54" s="17">
        <v>100</v>
      </c>
    </row>
    <row r="55" spans="1:40" ht="30" customHeight="1" x14ac:dyDescent="0.3">
      <c r="A55" s="10" t="s">
        <v>160</v>
      </c>
      <c r="B55" s="10" t="s">
        <v>631</v>
      </c>
      <c r="C55" s="10" t="s">
        <v>666</v>
      </c>
      <c r="D55" s="10" t="s">
        <v>796</v>
      </c>
      <c r="E55" s="27">
        <v>0</v>
      </c>
      <c r="F55" s="8" t="s">
        <v>677</v>
      </c>
      <c r="G55" s="27">
        <v>0</v>
      </c>
      <c r="H55" s="8" t="s">
        <v>677</v>
      </c>
      <c r="I55" s="27">
        <v>0</v>
      </c>
      <c r="J55" s="8" t="s">
        <v>677</v>
      </c>
      <c r="K55" s="27">
        <v>0</v>
      </c>
      <c r="L55" s="8" t="s">
        <v>677</v>
      </c>
      <c r="M55" s="27">
        <v>0</v>
      </c>
      <c r="N55" s="8" t="s">
        <v>677</v>
      </c>
      <c r="O55" s="27">
        <v>0</v>
      </c>
      <c r="P55" s="8" t="s">
        <v>677</v>
      </c>
      <c r="Q55" s="27">
        <v>0</v>
      </c>
      <c r="R55" s="8" t="s">
        <v>677</v>
      </c>
      <c r="S55" s="27">
        <v>0</v>
      </c>
      <c r="T55" s="8" t="s">
        <v>677</v>
      </c>
      <c r="U55" s="27">
        <f t="shared" si="5"/>
        <v>0</v>
      </c>
      <c r="V55" s="27">
        <f xml:space="preserve"> 0 * 공사설정!$C$25 / 100*AM55/ 100</f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42057</v>
      </c>
      <c r="AC55" s="27">
        <v>0</v>
      </c>
      <c r="AD55" s="27">
        <v>0</v>
      </c>
      <c r="AE55" s="27">
        <f>IF(MIN(W55:AD55)&lt;0, MIN(W55:AD55), SMALL(W55:AD55,COUNTIF(W55:AD55,0)+1)) * 공사설정!$C$24 / 100*AN55/ 100</f>
        <v>42057</v>
      </c>
      <c r="AF55" s="10" t="s">
        <v>406</v>
      </c>
      <c r="AG55" s="10" t="s">
        <v>238</v>
      </c>
      <c r="AH55" s="10" t="s">
        <v>957</v>
      </c>
      <c r="AI55" s="10" t="s">
        <v>677</v>
      </c>
      <c r="AK55" s="10" t="s">
        <v>677</v>
      </c>
      <c r="AL55" s="22">
        <v>100</v>
      </c>
      <c r="AM55" s="22">
        <v>100</v>
      </c>
      <c r="AN55" s="17">
        <v>100</v>
      </c>
    </row>
    <row r="56" spans="1:40" ht="30" customHeight="1" x14ac:dyDescent="0.3">
      <c r="A56" s="10" t="s">
        <v>929</v>
      </c>
      <c r="B56" s="10" t="s">
        <v>631</v>
      </c>
      <c r="C56" s="10" t="s">
        <v>624</v>
      </c>
      <c r="D56" s="10" t="s">
        <v>796</v>
      </c>
      <c r="E56" s="27">
        <v>0</v>
      </c>
      <c r="F56" s="8" t="s">
        <v>677</v>
      </c>
      <c r="G56" s="27">
        <v>0</v>
      </c>
      <c r="H56" s="8" t="s">
        <v>677</v>
      </c>
      <c r="I56" s="27">
        <v>0</v>
      </c>
      <c r="J56" s="8" t="s">
        <v>677</v>
      </c>
      <c r="K56" s="27">
        <v>0</v>
      </c>
      <c r="L56" s="8" t="s">
        <v>677</v>
      </c>
      <c r="M56" s="27">
        <v>0</v>
      </c>
      <c r="N56" s="8" t="s">
        <v>677</v>
      </c>
      <c r="O56" s="27">
        <v>0</v>
      </c>
      <c r="P56" s="8" t="s">
        <v>677</v>
      </c>
      <c r="Q56" s="27">
        <v>0</v>
      </c>
      <c r="R56" s="8" t="s">
        <v>677</v>
      </c>
      <c r="S56" s="27">
        <v>0</v>
      </c>
      <c r="T56" s="8" t="s">
        <v>677</v>
      </c>
      <c r="U56" s="27">
        <f t="shared" si="5"/>
        <v>0</v>
      </c>
      <c r="V56" s="27">
        <f xml:space="preserve"> 0 * 공사설정!$C$25 / 100*AM56/ 100</f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60857</v>
      </c>
      <c r="AC56" s="27">
        <v>0</v>
      </c>
      <c r="AD56" s="27">
        <v>0</v>
      </c>
      <c r="AE56" s="27">
        <f>IF(MIN(W56:AD56)&lt;0, MIN(W56:AD56), SMALL(W56:AD56,COUNTIF(W56:AD56,0)+1)) * 공사설정!$C$24 / 100*AN56/ 100</f>
        <v>60857</v>
      </c>
      <c r="AF56" s="10" t="s">
        <v>797</v>
      </c>
      <c r="AG56" s="10" t="s">
        <v>238</v>
      </c>
      <c r="AH56" s="10" t="s">
        <v>957</v>
      </c>
      <c r="AI56" s="10" t="s">
        <v>677</v>
      </c>
      <c r="AK56" s="10" t="s">
        <v>677</v>
      </c>
      <c r="AL56" s="22">
        <v>100</v>
      </c>
      <c r="AM56" s="22">
        <v>100</v>
      </c>
      <c r="AN56" s="17">
        <v>100</v>
      </c>
    </row>
    <row r="57" spans="1:40" ht="30" customHeight="1" x14ac:dyDescent="0.3">
      <c r="A57" s="10" t="s">
        <v>767</v>
      </c>
      <c r="B57" s="10" t="s">
        <v>631</v>
      </c>
      <c r="C57" s="10" t="s">
        <v>48</v>
      </c>
      <c r="D57" s="10" t="s">
        <v>796</v>
      </c>
      <c r="E57" s="27">
        <v>0</v>
      </c>
      <c r="F57" s="8" t="s">
        <v>677</v>
      </c>
      <c r="G57" s="27">
        <v>0</v>
      </c>
      <c r="H57" s="8" t="s">
        <v>677</v>
      </c>
      <c r="I57" s="27">
        <v>0</v>
      </c>
      <c r="J57" s="8" t="s">
        <v>677</v>
      </c>
      <c r="K57" s="27">
        <v>0</v>
      </c>
      <c r="L57" s="8" t="s">
        <v>677</v>
      </c>
      <c r="M57" s="27">
        <v>0</v>
      </c>
      <c r="N57" s="8" t="s">
        <v>677</v>
      </c>
      <c r="O57" s="27">
        <v>0</v>
      </c>
      <c r="P57" s="8" t="s">
        <v>677</v>
      </c>
      <c r="Q57" s="27">
        <v>0</v>
      </c>
      <c r="R57" s="8" t="s">
        <v>677</v>
      </c>
      <c r="S57" s="27">
        <v>0</v>
      </c>
      <c r="T57" s="8" t="s">
        <v>677</v>
      </c>
      <c r="U57" s="27">
        <f t="shared" si="5"/>
        <v>0</v>
      </c>
      <c r="V57" s="27">
        <f xml:space="preserve"> 0 * 공사설정!$C$25 / 100*AM57/ 100</f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76571</v>
      </c>
      <c r="AC57" s="27">
        <v>0</v>
      </c>
      <c r="AD57" s="27">
        <v>0</v>
      </c>
      <c r="AE57" s="27">
        <f>IF(MIN(W57:AD57)&lt;0, MIN(W57:AD57), SMALL(W57:AD57,COUNTIF(W57:AD57,0)+1)) * 공사설정!$C$24 / 100*AN57/ 100</f>
        <v>76571</v>
      </c>
      <c r="AF57" s="10" t="s">
        <v>733</v>
      </c>
      <c r="AG57" s="10" t="s">
        <v>238</v>
      </c>
      <c r="AH57" s="10" t="s">
        <v>957</v>
      </c>
      <c r="AI57" s="10" t="s">
        <v>677</v>
      </c>
      <c r="AK57" s="10" t="s">
        <v>677</v>
      </c>
      <c r="AL57" s="22">
        <v>100</v>
      </c>
      <c r="AM57" s="22">
        <v>100</v>
      </c>
      <c r="AN57" s="17">
        <v>100</v>
      </c>
    </row>
    <row r="58" spans="1:40" ht="30" customHeight="1" x14ac:dyDescent="0.3">
      <c r="A58" s="10" t="s">
        <v>475</v>
      </c>
      <c r="B58" s="10" t="s">
        <v>631</v>
      </c>
      <c r="C58" s="10" t="s">
        <v>747</v>
      </c>
      <c r="D58" s="10" t="s">
        <v>796</v>
      </c>
      <c r="E58" s="27">
        <v>0</v>
      </c>
      <c r="F58" s="8" t="s">
        <v>677</v>
      </c>
      <c r="G58" s="27">
        <v>0</v>
      </c>
      <c r="H58" s="8" t="s">
        <v>677</v>
      </c>
      <c r="I58" s="27">
        <v>0</v>
      </c>
      <c r="J58" s="8" t="s">
        <v>677</v>
      </c>
      <c r="K58" s="27">
        <v>0</v>
      </c>
      <c r="L58" s="8" t="s">
        <v>677</v>
      </c>
      <c r="M58" s="27">
        <v>0</v>
      </c>
      <c r="N58" s="8" t="s">
        <v>677</v>
      </c>
      <c r="O58" s="27">
        <v>0</v>
      </c>
      <c r="P58" s="8" t="s">
        <v>677</v>
      </c>
      <c r="Q58" s="27">
        <v>0</v>
      </c>
      <c r="R58" s="8" t="s">
        <v>677</v>
      </c>
      <c r="S58" s="27">
        <v>0</v>
      </c>
      <c r="T58" s="8" t="s">
        <v>677</v>
      </c>
      <c r="U58" s="27">
        <f t="shared" si="5"/>
        <v>0</v>
      </c>
      <c r="V58" s="27">
        <f xml:space="preserve"> 0 * 공사설정!$C$25 / 100*AM58/ 100</f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107355</v>
      </c>
      <c r="AC58" s="27">
        <v>0</v>
      </c>
      <c r="AD58" s="27">
        <v>0</v>
      </c>
      <c r="AE58" s="27">
        <f>IF(MIN(W58:AD58)&lt;0, MIN(W58:AD58), SMALL(W58:AD58,COUNTIF(W58:AD58,0)+1)) * 공사설정!$C$24 / 100*AN58/ 100</f>
        <v>107355</v>
      </c>
      <c r="AF58" s="10" t="s">
        <v>867</v>
      </c>
      <c r="AG58" s="10" t="s">
        <v>238</v>
      </c>
      <c r="AH58" s="10" t="s">
        <v>957</v>
      </c>
      <c r="AI58" s="10" t="s">
        <v>677</v>
      </c>
      <c r="AK58" s="10" t="s">
        <v>677</v>
      </c>
      <c r="AL58" s="22">
        <v>100</v>
      </c>
      <c r="AM58" s="22">
        <v>100</v>
      </c>
      <c r="AN58" s="17">
        <v>100</v>
      </c>
    </row>
    <row r="59" spans="1:40" ht="30" customHeight="1" x14ac:dyDescent="0.3">
      <c r="A59" s="10" t="s">
        <v>936</v>
      </c>
      <c r="B59" s="10" t="s">
        <v>474</v>
      </c>
      <c r="C59" s="10" t="s">
        <v>268</v>
      </c>
      <c r="D59" s="10" t="s">
        <v>796</v>
      </c>
      <c r="E59" s="27">
        <v>0</v>
      </c>
      <c r="F59" s="8" t="s">
        <v>677</v>
      </c>
      <c r="G59" s="27">
        <v>0</v>
      </c>
      <c r="H59" s="8" t="s">
        <v>677</v>
      </c>
      <c r="I59" s="27">
        <v>0</v>
      </c>
      <c r="J59" s="8" t="s">
        <v>677</v>
      </c>
      <c r="K59" s="27">
        <v>0</v>
      </c>
      <c r="L59" s="8" t="s">
        <v>677</v>
      </c>
      <c r="M59" s="27">
        <v>0</v>
      </c>
      <c r="N59" s="8" t="s">
        <v>677</v>
      </c>
      <c r="O59" s="27">
        <v>0</v>
      </c>
      <c r="P59" s="8" t="s">
        <v>677</v>
      </c>
      <c r="Q59" s="27">
        <v>0</v>
      </c>
      <c r="R59" s="8" t="s">
        <v>677</v>
      </c>
      <c r="S59" s="27">
        <v>0</v>
      </c>
      <c r="T59" s="8" t="s">
        <v>677</v>
      </c>
      <c r="U59" s="27">
        <f t="shared" si="5"/>
        <v>0</v>
      </c>
      <c r="V59" s="27">
        <f xml:space="preserve"> 0 * 공사설정!$C$25 / 100*AM59/ 100</f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83251</v>
      </c>
      <c r="AC59" s="27">
        <v>0</v>
      </c>
      <c r="AD59" s="27">
        <v>0</v>
      </c>
      <c r="AE59" s="27">
        <f>IF(MIN(W59:AD59)&lt;0, MIN(W59:AD59), SMALL(W59:AD59,COUNTIF(W59:AD59,0)+1)) * 공사설정!$C$24 / 100*AN59/ 100</f>
        <v>83251</v>
      </c>
      <c r="AF59" s="10" t="s">
        <v>390</v>
      </c>
      <c r="AG59" s="10" t="s">
        <v>238</v>
      </c>
      <c r="AH59" s="10" t="s">
        <v>957</v>
      </c>
      <c r="AI59" s="10" t="s">
        <v>677</v>
      </c>
      <c r="AK59" s="10" t="s">
        <v>677</v>
      </c>
      <c r="AL59" s="22">
        <v>100</v>
      </c>
      <c r="AM59" s="22">
        <v>100</v>
      </c>
      <c r="AN59" s="17">
        <v>100</v>
      </c>
    </row>
    <row r="60" spans="1:40" ht="30" customHeight="1" x14ac:dyDescent="0.3">
      <c r="A60" s="10" t="s">
        <v>522</v>
      </c>
      <c r="B60" s="10" t="s">
        <v>245</v>
      </c>
      <c r="C60" s="10" t="s">
        <v>268</v>
      </c>
      <c r="D60" s="10" t="s">
        <v>796</v>
      </c>
      <c r="E60" s="27">
        <v>0</v>
      </c>
      <c r="F60" s="8" t="s">
        <v>677</v>
      </c>
      <c r="G60" s="27">
        <v>0</v>
      </c>
      <c r="H60" s="8" t="s">
        <v>677</v>
      </c>
      <c r="I60" s="27">
        <v>0</v>
      </c>
      <c r="J60" s="8" t="s">
        <v>677</v>
      </c>
      <c r="K60" s="27">
        <v>0</v>
      </c>
      <c r="L60" s="8" t="s">
        <v>677</v>
      </c>
      <c r="M60" s="27">
        <v>0</v>
      </c>
      <c r="N60" s="8" t="s">
        <v>677</v>
      </c>
      <c r="O60" s="27">
        <v>0</v>
      </c>
      <c r="P60" s="8" t="s">
        <v>677</v>
      </c>
      <c r="Q60" s="27">
        <v>0</v>
      </c>
      <c r="R60" s="8" t="s">
        <v>677</v>
      </c>
      <c r="S60" s="27">
        <v>0</v>
      </c>
      <c r="T60" s="8" t="s">
        <v>677</v>
      </c>
      <c r="U60" s="27">
        <f t="shared" si="5"/>
        <v>0</v>
      </c>
      <c r="V60" s="27">
        <f xml:space="preserve"> 0 * 공사설정!$C$25 / 100*AM60/ 100</f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1495</v>
      </c>
      <c r="AC60" s="27">
        <v>0</v>
      </c>
      <c r="AD60" s="27">
        <v>0</v>
      </c>
      <c r="AE60" s="27">
        <f>IF(MIN(W60:AD60)&lt;0, MIN(W60:AD60), SMALL(W60:AD60,COUNTIF(W60:AD60,0)+1)) * 공사설정!$C$24 / 100*AN60/ 100</f>
        <v>1495</v>
      </c>
      <c r="AF60" s="10" t="s">
        <v>751</v>
      </c>
      <c r="AG60" s="10" t="s">
        <v>238</v>
      </c>
      <c r="AH60" s="10" t="s">
        <v>957</v>
      </c>
      <c r="AI60" s="10" t="s">
        <v>677</v>
      </c>
      <c r="AK60" s="10" t="s">
        <v>677</v>
      </c>
      <c r="AL60" s="22">
        <v>100</v>
      </c>
      <c r="AM60" s="22">
        <v>100</v>
      </c>
      <c r="AN60" s="17">
        <v>100</v>
      </c>
    </row>
    <row r="61" spans="1:40" ht="30" customHeight="1" x14ac:dyDescent="0.3">
      <c r="A61" s="10" t="s">
        <v>566</v>
      </c>
      <c r="B61" s="10" t="s">
        <v>770</v>
      </c>
      <c r="C61" s="10" t="s">
        <v>468</v>
      </c>
      <c r="D61" s="10" t="s">
        <v>796</v>
      </c>
      <c r="E61" s="27">
        <v>0</v>
      </c>
      <c r="F61" s="8" t="s">
        <v>677</v>
      </c>
      <c r="G61" s="27">
        <v>0</v>
      </c>
      <c r="H61" s="8" t="s">
        <v>677</v>
      </c>
      <c r="I61" s="27">
        <v>0</v>
      </c>
      <c r="J61" s="8" t="s">
        <v>677</v>
      </c>
      <c r="K61" s="27">
        <v>0</v>
      </c>
      <c r="L61" s="8" t="s">
        <v>677</v>
      </c>
      <c r="M61" s="27">
        <v>0</v>
      </c>
      <c r="N61" s="8" t="s">
        <v>677</v>
      </c>
      <c r="O61" s="27">
        <v>0</v>
      </c>
      <c r="P61" s="8" t="s">
        <v>677</v>
      </c>
      <c r="Q61" s="27">
        <v>0</v>
      </c>
      <c r="R61" s="8" t="s">
        <v>677</v>
      </c>
      <c r="S61" s="27">
        <v>0</v>
      </c>
      <c r="T61" s="8" t="s">
        <v>677</v>
      </c>
      <c r="U61" s="27">
        <f t="shared" si="5"/>
        <v>0</v>
      </c>
      <c r="V61" s="27">
        <f xml:space="preserve"> 0 * 공사설정!$C$25 / 100*AM61/ 100</f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6258</v>
      </c>
      <c r="AC61" s="27">
        <v>0</v>
      </c>
      <c r="AD61" s="27">
        <v>0</v>
      </c>
      <c r="AE61" s="27">
        <f>IF(MIN(W61:AD61)&lt;0, MIN(W61:AD61), SMALL(W61:AD61,COUNTIF(W61:AD61,0)+1)) * 공사설정!$C$24 / 100*AN61/ 100</f>
        <v>6258</v>
      </c>
      <c r="AF61" s="10" t="s">
        <v>705</v>
      </c>
      <c r="AG61" s="10" t="s">
        <v>238</v>
      </c>
      <c r="AH61" s="10" t="s">
        <v>957</v>
      </c>
      <c r="AI61" s="10" t="s">
        <v>677</v>
      </c>
      <c r="AK61" s="10" t="s">
        <v>677</v>
      </c>
      <c r="AL61" s="22">
        <v>100</v>
      </c>
      <c r="AM61" s="22">
        <v>100</v>
      </c>
      <c r="AN61" s="17">
        <v>100</v>
      </c>
    </row>
    <row r="62" spans="1:40" ht="30" customHeight="1" x14ac:dyDescent="0.3">
      <c r="A62" s="10" t="s">
        <v>910</v>
      </c>
      <c r="B62" s="10" t="s">
        <v>264</v>
      </c>
      <c r="C62" s="10" t="s">
        <v>559</v>
      </c>
      <c r="D62" s="10" t="s">
        <v>796</v>
      </c>
      <c r="E62" s="27">
        <v>0</v>
      </c>
      <c r="F62" s="8" t="s">
        <v>677</v>
      </c>
      <c r="G62" s="27">
        <v>0</v>
      </c>
      <c r="H62" s="8" t="s">
        <v>677</v>
      </c>
      <c r="I62" s="27">
        <v>0</v>
      </c>
      <c r="J62" s="8" t="s">
        <v>677</v>
      </c>
      <c r="K62" s="27">
        <v>0</v>
      </c>
      <c r="L62" s="8" t="s">
        <v>677</v>
      </c>
      <c r="M62" s="27">
        <v>0</v>
      </c>
      <c r="N62" s="8" t="s">
        <v>677</v>
      </c>
      <c r="O62" s="27">
        <v>0</v>
      </c>
      <c r="P62" s="8" t="s">
        <v>677</v>
      </c>
      <c r="Q62" s="27">
        <v>0</v>
      </c>
      <c r="R62" s="8" t="s">
        <v>677</v>
      </c>
      <c r="S62" s="27">
        <v>0</v>
      </c>
      <c r="T62" s="8" t="s">
        <v>677</v>
      </c>
      <c r="U62" s="27">
        <f t="shared" si="5"/>
        <v>0</v>
      </c>
      <c r="V62" s="27">
        <f xml:space="preserve"> 0 * 공사설정!$C$25 / 100*AM62/ 100</f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1273</v>
      </c>
      <c r="AC62" s="27">
        <v>0</v>
      </c>
      <c r="AD62" s="27">
        <v>0</v>
      </c>
      <c r="AE62" s="27">
        <f>IF(MIN(W62:AD62)&lt;0, MIN(W62:AD62), SMALL(W62:AD62,COUNTIF(W62:AD62,0)+1)) * 공사설정!$C$24 / 100*AN62/ 100</f>
        <v>1273</v>
      </c>
      <c r="AF62" s="10" t="s">
        <v>254</v>
      </c>
      <c r="AG62" s="10" t="s">
        <v>238</v>
      </c>
      <c r="AH62" s="10" t="s">
        <v>957</v>
      </c>
      <c r="AI62" s="10" t="s">
        <v>677</v>
      </c>
      <c r="AK62" s="10" t="s">
        <v>677</v>
      </c>
      <c r="AL62" s="22">
        <v>100</v>
      </c>
      <c r="AM62" s="22">
        <v>100</v>
      </c>
      <c r="AN62" s="17">
        <v>100</v>
      </c>
    </row>
    <row r="63" spans="1:40" ht="30" customHeight="1" x14ac:dyDescent="0.3">
      <c r="A63" s="10" t="s">
        <v>1178</v>
      </c>
      <c r="B63" s="10" t="s">
        <v>1179</v>
      </c>
      <c r="C63" s="10" t="s">
        <v>1180</v>
      </c>
      <c r="D63" s="10" t="s">
        <v>796</v>
      </c>
      <c r="E63" s="27">
        <v>0</v>
      </c>
      <c r="F63" s="8" t="s">
        <v>677</v>
      </c>
      <c r="G63" s="27">
        <v>0</v>
      </c>
      <c r="H63" s="8" t="s">
        <v>677</v>
      </c>
      <c r="I63" s="27">
        <v>0</v>
      </c>
      <c r="J63" s="8" t="s">
        <v>677</v>
      </c>
      <c r="K63" s="27">
        <v>0</v>
      </c>
      <c r="L63" s="8" t="s">
        <v>677</v>
      </c>
      <c r="M63" s="27">
        <v>0</v>
      </c>
      <c r="N63" s="8" t="s">
        <v>677</v>
      </c>
      <c r="O63" s="27">
        <v>0</v>
      </c>
      <c r="P63" s="8" t="s">
        <v>677</v>
      </c>
      <c r="Q63" s="27">
        <v>0</v>
      </c>
      <c r="R63" s="8" t="s">
        <v>677</v>
      </c>
      <c r="S63" s="27">
        <v>0</v>
      </c>
      <c r="T63" s="8" t="s">
        <v>677</v>
      </c>
      <c r="U63" s="27">
        <f t="shared" si="5"/>
        <v>0</v>
      </c>
      <c r="V63" s="27">
        <f xml:space="preserve"> 0 * [1]공사설정!$C$25 / 100*AM63/ 100</f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36938</v>
      </c>
      <c r="AC63" s="27">
        <v>0</v>
      </c>
      <c r="AD63" s="27">
        <v>0</v>
      </c>
      <c r="AE63" s="27">
        <f>IF(MIN(W63:AD63)&lt;0, MIN(W63:AD63), SMALL(W63:AD63,COUNTIF(W63:AD63,0)+1)) * [1]공사설정!$C$24 / 100*AN63/ 100</f>
        <v>36938</v>
      </c>
      <c r="AF63" s="10" t="s">
        <v>159</v>
      </c>
      <c r="AG63" s="10" t="s">
        <v>238</v>
      </c>
      <c r="AH63" s="10" t="s">
        <v>957</v>
      </c>
      <c r="AI63" s="10" t="s">
        <v>677</v>
      </c>
      <c r="AK63" s="10" t="s">
        <v>677</v>
      </c>
      <c r="AL63" s="22">
        <v>100</v>
      </c>
      <c r="AM63" s="22">
        <v>100</v>
      </c>
      <c r="AN63" s="17">
        <v>100</v>
      </c>
    </row>
    <row r="64" spans="1:40" ht="30" customHeight="1" x14ac:dyDescent="0.3">
      <c r="A64" s="10" t="s">
        <v>123</v>
      </c>
      <c r="B64" s="10" t="s">
        <v>799</v>
      </c>
      <c r="C64" s="10" t="s">
        <v>244</v>
      </c>
      <c r="D64" s="10" t="s">
        <v>796</v>
      </c>
      <c r="E64" s="27">
        <v>0</v>
      </c>
      <c r="F64" s="8" t="s">
        <v>677</v>
      </c>
      <c r="G64" s="27">
        <v>0</v>
      </c>
      <c r="H64" s="8" t="s">
        <v>677</v>
      </c>
      <c r="I64" s="27">
        <v>0</v>
      </c>
      <c r="J64" s="8" t="s">
        <v>677</v>
      </c>
      <c r="K64" s="27">
        <v>0</v>
      </c>
      <c r="L64" s="8" t="s">
        <v>677</v>
      </c>
      <c r="M64" s="27">
        <v>0</v>
      </c>
      <c r="N64" s="8" t="s">
        <v>677</v>
      </c>
      <c r="O64" s="27">
        <v>0</v>
      </c>
      <c r="P64" s="8" t="s">
        <v>677</v>
      </c>
      <c r="Q64" s="27">
        <v>0</v>
      </c>
      <c r="R64" s="8" t="s">
        <v>677</v>
      </c>
      <c r="S64" s="27">
        <v>0</v>
      </c>
      <c r="T64" s="8" t="s">
        <v>677</v>
      </c>
      <c r="U64" s="27">
        <f t="shared" si="5"/>
        <v>0</v>
      </c>
      <c r="V64" s="27">
        <f xml:space="preserve"> 0 * 공사설정!$C$25 / 100*AM64/ 100</f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12768</v>
      </c>
      <c r="AC64" s="27">
        <v>0</v>
      </c>
      <c r="AD64" s="27">
        <v>0</v>
      </c>
      <c r="AE64" s="27">
        <f>IF(MIN(W64:AD64)&lt;0, MIN(W64:AD64), SMALL(W64:AD64,COUNTIF(W64:AD64,0)+1)) * 공사설정!$C$24 / 100*AN64/ 100</f>
        <v>12768</v>
      </c>
      <c r="AF64" s="10" t="s">
        <v>159</v>
      </c>
      <c r="AG64" s="10" t="s">
        <v>238</v>
      </c>
      <c r="AH64" s="10" t="s">
        <v>957</v>
      </c>
      <c r="AI64" s="10" t="s">
        <v>677</v>
      </c>
      <c r="AK64" s="10" t="s">
        <v>677</v>
      </c>
      <c r="AL64" s="22">
        <v>100</v>
      </c>
      <c r="AM64" s="22">
        <v>100</v>
      </c>
      <c r="AN64" s="17">
        <v>100</v>
      </c>
    </row>
    <row r="65" spans="1:40" ht="30" customHeight="1" x14ac:dyDescent="0.3">
      <c r="A65" s="10" t="s">
        <v>750</v>
      </c>
      <c r="B65" s="10" t="s">
        <v>962</v>
      </c>
      <c r="C65" s="10" t="s">
        <v>917</v>
      </c>
      <c r="D65" s="10" t="s">
        <v>796</v>
      </c>
      <c r="E65" s="27">
        <v>0</v>
      </c>
      <c r="F65" s="8" t="s">
        <v>677</v>
      </c>
      <c r="G65" s="27">
        <v>0</v>
      </c>
      <c r="H65" s="8" t="s">
        <v>677</v>
      </c>
      <c r="I65" s="27">
        <v>0</v>
      </c>
      <c r="J65" s="8" t="s">
        <v>677</v>
      </c>
      <c r="K65" s="27">
        <v>0</v>
      </c>
      <c r="L65" s="8" t="s">
        <v>677</v>
      </c>
      <c r="M65" s="27">
        <v>0</v>
      </c>
      <c r="N65" s="8" t="s">
        <v>677</v>
      </c>
      <c r="O65" s="27">
        <v>0</v>
      </c>
      <c r="P65" s="8" t="s">
        <v>677</v>
      </c>
      <c r="Q65" s="27">
        <v>0</v>
      </c>
      <c r="R65" s="8" t="s">
        <v>677</v>
      </c>
      <c r="S65" s="27">
        <v>0</v>
      </c>
      <c r="T65" s="8" t="s">
        <v>677</v>
      </c>
      <c r="U65" s="27">
        <f t="shared" si="5"/>
        <v>0</v>
      </c>
      <c r="V65" s="27">
        <f xml:space="preserve"> 0 * 공사설정!$C$25 / 100*AM65/ 100</f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1756</v>
      </c>
      <c r="AC65" s="27">
        <v>0</v>
      </c>
      <c r="AD65" s="27">
        <v>0</v>
      </c>
      <c r="AE65" s="27">
        <f>IF(MIN(W65:AD65)&lt;0, MIN(W65:AD65), SMALL(W65:AD65,COUNTIF(W65:AD65,0)+1)) * 공사설정!$C$24 / 100*AN65/ 100</f>
        <v>1756</v>
      </c>
      <c r="AF65" s="10" t="s">
        <v>972</v>
      </c>
      <c r="AG65" s="10" t="s">
        <v>238</v>
      </c>
      <c r="AH65" s="10" t="s">
        <v>957</v>
      </c>
      <c r="AI65" s="10" t="s">
        <v>677</v>
      </c>
      <c r="AK65" s="10" t="s">
        <v>677</v>
      </c>
      <c r="AL65" s="22">
        <v>100</v>
      </c>
      <c r="AM65" s="22">
        <v>100</v>
      </c>
      <c r="AN65" s="17">
        <v>100</v>
      </c>
    </row>
    <row r="66" spans="1:40" ht="30" customHeight="1" x14ac:dyDescent="0.3">
      <c r="A66" s="10" t="s">
        <v>173</v>
      </c>
      <c r="B66" s="10" t="s">
        <v>68</v>
      </c>
      <c r="C66" s="10" t="s">
        <v>677</v>
      </c>
      <c r="D66" s="10" t="s">
        <v>924</v>
      </c>
      <c r="E66" s="27">
        <v>0</v>
      </c>
      <c r="F66" s="8"/>
      <c r="G66" s="27">
        <v>0</v>
      </c>
      <c r="H66" s="8"/>
      <c r="I66" s="27">
        <v>0</v>
      </c>
      <c r="J66" s="8" t="s">
        <v>444</v>
      </c>
      <c r="K66" s="27">
        <v>0</v>
      </c>
      <c r="L66" s="8"/>
      <c r="M66" s="27">
        <v>0</v>
      </c>
      <c r="N66" s="8"/>
      <c r="O66" s="27">
        <v>0</v>
      </c>
      <c r="P66" s="8"/>
      <c r="Q66" s="27">
        <v>0</v>
      </c>
      <c r="R66" s="8"/>
      <c r="S66" s="27">
        <v>0</v>
      </c>
      <c r="T66" s="8"/>
      <c r="U66" s="27">
        <f t="shared" si="5"/>
        <v>0</v>
      </c>
      <c r="V66" s="27">
        <f xml:space="preserve"> 0 * 공사설정!$C$25 / 100*AM66/ 100</f>
        <v>0</v>
      </c>
      <c r="W66" s="27">
        <v>0</v>
      </c>
      <c r="X66" s="27">
        <v>0</v>
      </c>
      <c r="Y66" s="27">
        <v>2056.36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f>IF(MIN(W66:AD66)&lt;0, MIN(W66:AD66), SMALL(W66:AD66,COUNTIF(W66:AD66,0)+1)) * 공사설정!$C$24 / 100*AN66/ 100</f>
        <v>2056.36</v>
      </c>
      <c r="AF66" s="10" t="s">
        <v>503</v>
      </c>
      <c r="AG66" s="10"/>
      <c r="AH66" s="10" t="s">
        <v>957</v>
      </c>
      <c r="AI66" s="10" t="s">
        <v>677</v>
      </c>
      <c r="AK66" s="10" t="s">
        <v>677</v>
      </c>
      <c r="AL66" s="22">
        <v>100</v>
      </c>
      <c r="AM66" s="22">
        <v>100</v>
      </c>
      <c r="AN66" s="17">
        <v>100</v>
      </c>
    </row>
    <row r="67" spans="1:40" ht="30" customHeight="1" x14ac:dyDescent="0.3">
      <c r="A67" s="10" t="s">
        <v>301</v>
      </c>
      <c r="B67" s="10" t="s">
        <v>1155</v>
      </c>
      <c r="C67" s="10" t="s">
        <v>1156</v>
      </c>
      <c r="D67" s="10" t="s">
        <v>1038</v>
      </c>
      <c r="E67" s="27">
        <v>0</v>
      </c>
      <c r="F67" s="8" t="s">
        <v>677</v>
      </c>
      <c r="G67" s="27">
        <v>0</v>
      </c>
      <c r="H67" s="8" t="s">
        <v>677</v>
      </c>
      <c r="I67" s="27">
        <v>0</v>
      </c>
      <c r="J67" s="8" t="s">
        <v>677</v>
      </c>
      <c r="K67" s="27">
        <v>0</v>
      </c>
      <c r="L67" s="8" t="s">
        <v>677</v>
      </c>
      <c r="M67" s="27">
        <v>0</v>
      </c>
      <c r="N67" s="8" t="s">
        <v>677</v>
      </c>
      <c r="O67" s="27">
        <v>0</v>
      </c>
      <c r="P67" s="8" t="s">
        <v>677</v>
      </c>
      <c r="Q67" s="27">
        <v>0</v>
      </c>
      <c r="R67" s="8" t="s">
        <v>677</v>
      </c>
      <c r="S67" s="27">
        <v>0</v>
      </c>
      <c r="T67" s="8" t="s">
        <v>677</v>
      </c>
      <c r="U67" s="27">
        <f t="shared" si="5"/>
        <v>0</v>
      </c>
      <c r="V67" s="27">
        <f xml:space="preserve"> 0 * 공사설정!$C$25 / 100*AM67/ 100</f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43000</v>
      </c>
      <c r="AC67" s="27">
        <v>0</v>
      </c>
      <c r="AD67" s="27">
        <v>0</v>
      </c>
      <c r="AE67" s="27">
        <f>IF(MIN(W67:AD67)&lt;0, MIN(W67:AD67), SMALL(W67:AD67,COUNTIF(W67:AD67,0)+1)) * 공사설정!$C$24 / 100*AN67/ 100</f>
        <v>43000</v>
      </c>
      <c r="AF67" s="10" t="s">
        <v>139</v>
      </c>
      <c r="AG67" s="10" t="s">
        <v>677</v>
      </c>
      <c r="AH67" s="10" t="s">
        <v>957</v>
      </c>
      <c r="AI67" s="10" t="s">
        <v>677</v>
      </c>
      <c r="AK67" s="10" t="s">
        <v>677</v>
      </c>
      <c r="AL67" s="22">
        <v>100</v>
      </c>
      <c r="AM67" s="22">
        <v>100</v>
      </c>
      <c r="AN67" s="17">
        <v>100</v>
      </c>
    </row>
    <row r="68" spans="1:40" ht="30" customHeight="1" x14ac:dyDescent="0.3">
      <c r="A68" s="10" t="s">
        <v>686</v>
      </c>
      <c r="B68" s="10" t="s">
        <v>478</v>
      </c>
      <c r="C68" s="10" t="s">
        <v>25</v>
      </c>
      <c r="D68" s="10" t="s">
        <v>1038</v>
      </c>
      <c r="E68" s="27">
        <v>0</v>
      </c>
      <c r="F68" s="8" t="s">
        <v>677</v>
      </c>
      <c r="G68" s="27">
        <v>0</v>
      </c>
      <c r="H68" s="8" t="s">
        <v>677</v>
      </c>
      <c r="I68" s="27">
        <v>0</v>
      </c>
      <c r="J68" s="8" t="s">
        <v>677</v>
      </c>
      <c r="K68" s="27">
        <v>0</v>
      </c>
      <c r="L68" s="8" t="s">
        <v>677</v>
      </c>
      <c r="M68" s="27">
        <v>0</v>
      </c>
      <c r="N68" s="8" t="s">
        <v>677</v>
      </c>
      <c r="O68" s="27">
        <v>0</v>
      </c>
      <c r="P68" s="8" t="s">
        <v>677</v>
      </c>
      <c r="Q68" s="27">
        <v>0</v>
      </c>
      <c r="R68" s="8" t="s">
        <v>677</v>
      </c>
      <c r="S68" s="27">
        <v>0</v>
      </c>
      <c r="T68" s="8" t="s">
        <v>677</v>
      </c>
      <c r="U68" s="27">
        <f t="shared" si="5"/>
        <v>0</v>
      </c>
      <c r="V68" s="27">
        <f xml:space="preserve"> 0 * 공사설정!$C$25 / 100*AM68/ 100</f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2016</v>
      </c>
      <c r="AC68" s="27">
        <v>0</v>
      </c>
      <c r="AD68" s="27">
        <v>0</v>
      </c>
      <c r="AE68" s="27">
        <f>IF(MIN(W68:AD68)&lt;0, MIN(W68:AD68), SMALL(W68:AD68,COUNTIF(W68:AD68,0)+1)) * 공사설정!$C$24 / 100*AN68/ 100</f>
        <v>2016</v>
      </c>
      <c r="AF68" s="10" t="s">
        <v>125</v>
      </c>
      <c r="AG68" s="10" t="s">
        <v>677</v>
      </c>
      <c r="AH68" s="10" t="s">
        <v>957</v>
      </c>
      <c r="AI68" s="10" t="s">
        <v>677</v>
      </c>
      <c r="AK68" s="10" t="s">
        <v>677</v>
      </c>
      <c r="AL68" s="22">
        <v>100</v>
      </c>
      <c r="AM68" s="22">
        <v>100</v>
      </c>
      <c r="AN68" s="17">
        <v>100</v>
      </c>
    </row>
    <row r="69" spans="1:40" ht="30" customHeight="1" x14ac:dyDescent="0.3">
      <c r="A69" s="10" t="s">
        <v>778</v>
      </c>
      <c r="B69" s="10" t="s">
        <v>1019</v>
      </c>
      <c r="C69" s="10" t="s">
        <v>243</v>
      </c>
      <c r="D69" s="10" t="s">
        <v>1038</v>
      </c>
      <c r="E69" s="27">
        <v>0</v>
      </c>
      <c r="F69" s="8" t="s">
        <v>677</v>
      </c>
      <c r="G69" s="27">
        <v>0</v>
      </c>
      <c r="H69" s="8" t="s">
        <v>677</v>
      </c>
      <c r="I69" s="27">
        <v>0</v>
      </c>
      <c r="J69" s="8" t="s">
        <v>677</v>
      </c>
      <c r="K69" s="27">
        <v>0</v>
      </c>
      <c r="L69" s="8" t="s">
        <v>677</v>
      </c>
      <c r="M69" s="27">
        <v>0</v>
      </c>
      <c r="N69" s="8" t="s">
        <v>677</v>
      </c>
      <c r="O69" s="27">
        <v>0</v>
      </c>
      <c r="P69" s="8" t="s">
        <v>677</v>
      </c>
      <c r="Q69" s="27">
        <v>0</v>
      </c>
      <c r="R69" s="8" t="s">
        <v>677</v>
      </c>
      <c r="S69" s="27">
        <v>0</v>
      </c>
      <c r="T69" s="8" t="s">
        <v>677</v>
      </c>
      <c r="U69" s="27">
        <f t="shared" si="5"/>
        <v>0</v>
      </c>
      <c r="V69" s="27">
        <f xml:space="preserve"> 0 * 공사설정!$C$25 / 100*AM69/ 100</f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13210</v>
      </c>
      <c r="AC69" s="27">
        <v>0</v>
      </c>
      <c r="AD69" s="27">
        <v>0</v>
      </c>
      <c r="AE69" s="27">
        <f>IF(MIN(W69:AD69)&lt;0, MIN(W69:AD69), SMALL(W69:AD69,COUNTIF(W69:AD69,0)+1)) * 공사설정!$C$24 / 100*AN69/ 100</f>
        <v>13210</v>
      </c>
      <c r="AF69" s="10" t="s">
        <v>401</v>
      </c>
      <c r="AG69" s="10" t="s">
        <v>677</v>
      </c>
      <c r="AH69" s="10" t="s">
        <v>957</v>
      </c>
      <c r="AI69" s="10" t="s">
        <v>677</v>
      </c>
      <c r="AK69" s="10" t="s">
        <v>677</v>
      </c>
      <c r="AL69" s="22">
        <v>100</v>
      </c>
      <c r="AM69" s="22">
        <v>100</v>
      </c>
      <c r="AN69" s="17">
        <v>100</v>
      </c>
    </row>
    <row r="70" spans="1:40" ht="30" customHeight="1" x14ac:dyDescent="0.3">
      <c r="A70" s="10" t="s">
        <v>1051</v>
      </c>
      <c r="B70" s="10" t="s">
        <v>1288</v>
      </c>
      <c r="C70" s="31" t="s">
        <v>1054</v>
      </c>
      <c r="D70" s="10" t="s">
        <v>1052</v>
      </c>
      <c r="E70" s="27">
        <v>0</v>
      </c>
      <c r="F70" s="8" t="s">
        <v>677</v>
      </c>
      <c r="G70" s="27">
        <v>0</v>
      </c>
      <c r="H70" s="8" t="s">
        <v>677</v>
      </c>
      <c r="I70" s="27">
        <v>0</v>
      </c>
      <c r="J70" s="8" t="s">
        <v>677</v>
      </c>
      <c r="K70" s="27">
        <v>0</v>
      </c>
      <c r="L70" s="8" t="s">
        <v>677</v>
      </c>
      <c r="M70" s="27">
        <v>0</v>
      </c>
      <c r="N70" s="8" t="s">
        <v>677</v>
      </c>
      <c r="O70" s="27">
        <v>1500000</v>
      </c>
      <c r="P70" s="8" t="s">
        <v>677</v>
      </c>
      <c r="Q70" s="27">
        <v>3660000</v>
      </c>
      <c r="R70" s="8" t="s">
        <v>677</v>
      </c>
      <c r="S70" s="27">
        <v>2050000</v>
      </c>
      <c r="T70" s="8" t="s">
        <v>677</v>
      </c>
      <c r="U70" s="27">
        <f>IF(MIN(E70,G70,I70,K70,M70,O70,Q70,S70)&lt;0, MIN(E70,G70,I70,K70,M70,O70,Q70,S70), SMALL(E70:T70,COUNTIF(E70:T70,0)+1)) * [1]공사설정!$C$24 / 100*AL70/ 100</f>
        <v>1500000</v>
      </c>
      <c r="V70" s="27">
        <f xml:space="preserve"> 0 * [1]공사설정!$C$25 / 100*AM70/ 100</f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f t="shared" ref="AE70:AE74" si="6">0*AN70/ 100</f>
        <v>0</v>
      </c>
      <c r="AF70" s="10" t="s">
        <v>1096</v>
      </c>
      <c r="AG70" s="10" t="s">
        <v>677</v>
      </c>
      <c r="AH70" s="10" t="s">
        <v>677</v>
      </c>
      <c r="AI70" s="10" t="s">
        <v>677</v>
      </c>
      <c r="AK70" s="10" t="s">
        <v>677</v>
      </c>
      <c r="AL70" s="22">
        <v>100</v>
      </c>
      <c r="AM70" s="22">
        <v>100</v>
      </c>
      <c r="AN70" s="17">
        <v>100</v>
      </c>
    </row>
    <row r="71" spans="1:40" ht="30" customHeight="1" x14ac:dyDescent="0.3">
      <c r="A71" s="10" t="s">
        <v>815</v>
      </c>
      <c r="B71" s="10" t="s">
        <v>1281</v>
      </c>
      <c r="C71" s="10" t="s">
        <v>1055</v>
      </c>
      <c r="D71" s="10" t="s">
        <v>1059</v>
      </c>
      <c r="E71" s="27">
        <v>640000</v>
      </c>
      <c r="F71" s="8" t="s">
        <v>677</v>
      </c>
      <c r="G71" s="27">
        <v>0</v>
      </c>
      <c r="H71" s="8" t="s">
        <v>677</v>
      </c>
      <c r="I71" s="27">
        <v>0</v>
      </c>
      <c r="J71" s="8" t="s">
        <v>677</v>
      </c>
      <c r="K71" s="27">
        <v>0</v>
      </c>
      <c r="L71" s="8" t="s">
        <v>677</v>
      </c>
      <c r="M71" s="27">
        <v>0</v>
      </c>
      <c r="N71" s="8" t="s">
        <v>677</v>
      </c>
      <c r="O71" s="27">
        <v>0</v>
      </c>
      <c r="P71" s="8" t="s">
        <v>677</v>
      </c>
      <c r="Q71" s="27">
        <v>0</v>
      </c>
      <c r="R71" s="8" t="s">
        <v>677</v>
      </c>
      <c r="S71" s="27">
        <v>0</v>
      </c>
      <c r="T71" s="8" t="s">
        <v>677</v>
      </c>
      <c r="U71" s="27">
        <f>IF(MIN(E71,G71,I71,K71,M71,O71,Q71,S71)&lt;0, MIN(E71,G71,I71,K71,M71,O71,Q71,S71), SMALL(E71:T71,COUNTIF(E71:T71,0)+1)) * 공사설정!$C$24 / 100*AL71/ 100</f>
        <v>640000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f t="shared" si="6"/>
        <v>0</v>
      </c>
      <c r="AF71" s="10" t="s">
        <v>1097</v>
      </c>
      <c r="AG71" s="10" t="s">
        <v>677</v>
      </c>
      <c r="AH71" s="10" t="s">
        <v>677</v>
      </c>
      <c r="AI71" s="10" t="s">
        <v>677</v>
      </c>
      <c r="AK71" s="10" t="s">
        <v>677</v>
      </c>
      <c r="AL71" s="22">
        <v>100</v>
      </c>
      <c r="AM71" s="22">
        <v>100</v>
      </c>
      <c r="AN71" s="17">
        <v>100</v>
      </c>
    </row>
    <row r="72" spans="1:40" ht="30" customHeight="1" x14ac:dyDescent="0.3">
      <c r="A72" s="10" t="s">
        <v>815</v>
      </c>
      <c r="B72" s="10" t="s">
        <v>1057</v>
      </c>
      <c r="C72" s="10" t="s">
        <v>1058</v>
      </c>
      <c r="D72" s="10" t="s">
        <v>1059</v>
      </c>
      <c r="E72" s="27">
        <v>224000</v>
      </c>
      <c r="F72" s="8" t="s">
        <v>677</v>
      </c>
      <c r="G72" s="27">
        <v>0</v>
      </c>
      <c r="H72" s="8" t="s">
        <v>677</v>
      </c>
      <c r="I72" s="27">
        <v>0</v>
      </c>
      <c r="J72" s="8" t="s">
        <v>677</v>
      </c>
      <c r="K72" s="27">
        <v>0</v>
      </c>
      <c r="L72" s="8" t="s">
        <v>677</v>
      </c>
      <c r="M72" s="27">
        <v>0</v>
      </c>
      <c r="N72" s="8" t="s">
        <v>677</v>
      </c>
      <c r="O72" s="27">
        <v>0</v>
      </c>
      <c r="P72" s="8" t="s">
        <v>677</v>
      </c>
      <c r="Q72" s="27">
        <v>0</v>
      </c>
      <c r="R72" s="8" t="s">
        <v>677</v>
      </c>
      <c r="S72" s="27">
        <v>0</v>
      </c>
      <c r="T72" s="8" t="s">
        <v>677</v>
      </c>
      <c r="U72" s="27">
        <f>IF(MIN(E72,G72,I72,K72,M72,O72,Q72,S72)&lt;0, MIN(E72,G72,I72,K72,M72,O72,Q72,S72), SMALL(E72:T72,COUNTIF(E72:T72,0)+1)) * 공사설정!$C$24 / 100*AL72/ 100</f>
        <v>224000</v>
      </c>
      <c r="V72" s="27">
        <f xml:space="preserve"> 0 * 공사설정!$C$25 / 100*AM72/ 100</f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f t="shared" si="6"/>
        <v>0</v>
      </c>
      <c r="AF72" s="10" t="s">
        <v>1098</v>
      </c>
      <c r="AG72" s="10" t="s">
        <v>677</v>
      </c>
      <c r="AH72" s="10" t="s">
        <v>677</v>
      </c>
      <c r="AI72" s="10" t="s">
        <v>677</v>
      </c>
      <c r="AK72" s="10" t="s">
        <v>677</v>
      </c>
      <c r="AL72" s="22">
        <v>100</v>
      </c>
      <c r="AM72" s="22">
        <v>100</v>
      </c>
      <c r="AN72" s="17">
        <v>100</v>
      </c>
    </row>
    <row r="73" spans="1:40" ht="30" customHeight="1" x14ac:dyDescent="0.3">
      <c r="A73" s="10" t="s">
        <v>815</v>
      </c>
      <c r="B73" s="10" t="s">
        <v>1062</v>
      </c>
      <c r="C73" s="10" t="s">
        <v>1061</v>
      </c>
      <c r="D73" s="10" t="s">
        <v>1059</v>
      </c>
      <c r="E73" s="27">
        <v>265000</v>
      </c>
      <c r="F73" s="8" t="s">
        <v>677</v>
      </c>
      <c r="G73" s="27">
        <v>0</v>
      </c>
      <c r="H73" s="8" t="s">
        <v>677</v>
      </c>
      <c r="I73" s="27">
        <v>0</v>
      </c>
      <c r="J73" s="8" t="s">
        <v>677</v>
      </c>
      <c r="K73" s="27">
        <v>0</v>
      </c>
      <c r="L73" s="8" t="s">
        <v>677</v>
      </c>
      <c r="M73" s="27">
        <v>0</v>
      </c>
      <c r="N73" s="8" t="s">
        <v>677</v>
      </c>
      <c r="O73" s="27">
        <v>0</v>
      </c>
      <c r="P73" s="8" t="s">
        <v>677</v>
      </c>
      <c r="Q73" s="27">
        <v>0</v>
      </c>
      <c r="R73" s="8" t="s">
        <v>677</v>
      </c>
      <c r="S73" s="27">
        <v>0</v>
      </c>
      <c r="T73" s="8" t="s">
        <v>677</v>
      </c>
      <c r="U73" s="27">
        <f>IF(MIN(E73,G73,I73,K73,M73,O73,Q73,S73)&lt;0, MIN(E73,G73,I73,K73,M73,O73,Q73,S73), SMALL(E73:T73,COUNTIF(E73:T73,0)+1)) * 공사설정!$C$24 / 100*AL73/ 100</f>
        <v>265000</v>
      </c>
      <c r="V73" s="27">
        <f xml:space="preserve"> 0 * 공사설정!$C$25 / 100*AM73/ 100</f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f t="shared" si="6"/>
        <v>0</v>
      </c>
      <c r="AF73" s="10" t="s">
        <v>1099</v>
      </c>
      <c r="AG73" s="10" t="s">
        <v>677</v>
      </c>
      <c r="AH73" s="10" t="s">
        <v>677</v>
      </c>
      <c r="AI73" s="10" t="s">
        <v>677</v>
      </c>
      <c r="AK73" s="10" t="s">
        <v>677</v>
      </c>
      <c r="AL73" s="22">
        <v>100</v>
      </c>
      <c r="AM73" s="22">
        <v>100</v>
      </c>
      <c r="AN73" s="17">
        <v>100</v>
      </c>
    </row>
    <row r="74" spans="1:40" ht="30" customHeight="1" x14ac:dyDescent="0.3">
      <c r="A74" s="10" t="s">
        <v>815</v>
      </c>
      <c r="B74" s="10" t="s">
        <v>1063</v>
      </c>
      <c r="C74" s="10" t="s">
        <v>1064</v>
      </c>
      <c r="D74" s="10" t="s">
        <v>1059</v>
      </c>
      <c r="E74" s="27">
        <v>520000</v>
      </c>
      <c r="F74" s="8" t="s">
        <v>677</v>
      </c>
      <c r="G74" s="27">
        <v>0</v>
      </c>
      <c r="H74" s="8" t="s">
        <v>677</v>
      </c>
      <c r="I74" s="27">
        <v>0</v>
      </c>
      <c r="J74" s="8" t="s">
        <v>677</v>
      </c>
      <c r="K74" s="27">
        <v>0</v>
      </c>
      <c r="L74" s="8" t="s">
        <v>677</v>
      </c>
      <c r="M74" s="27">
        <v>0</v>
      </c>
      <c r="N74" s="8" t="s">
        <v>677</v>
      </c>
      <c r="O74" s="27">
        <v>0</v>
      </c>
      <c r="P74" s="8" t="s">
        <v>677</v>
      </c>
      <c r="Q74" s="27">
        <v>0</v>
      </c>
      <c r="R74" s="8" t="s">
        <v>677</v>
      </c>
      <c r="S74" s="27">
        <v>0</v>
      </c>
      <c r="T74" s="8" t="s">
        <v>677</v>
      </c>
      <c r="U74" s="27">
        <f>IF(MIN(E74,G74,I74,K74,M74,O74,Q74,S74)&lt;0, MIN(E74,G74,I74,K74,M74,O74,Q74,S74), SMALL(E74:T74,COUNTIF(E74:T74,0)+1)) * 공사설정!$C$24 / 100*AL74/ 100</f>
        <v>520000</v>
      </c>
      <c r="V74" s="27">
        <f xml:space="preserve"> 0 * 공사설정!$C$25 / 100*AM74/ 100</f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f t="shared" si="6"/>
        <v>0</v>
      </c>
      <c r="AF74" s="10" t="s">
        <v>1100</v>
      </c>
      <c r="AG74" s="10" t="s">
        <v>677</v>
      </c>
      <c r="AH74" s="10" t="s">
        <v>677</v>
      </c>
      <c r="AI74" s="10" t="s">
        <v>677</v>
      </c>
      <c r="AK74" s="10" t="s">
        <v>677</v>
      </c>
      <c r="AL74" s="22">
        <v>100</v>
      </c>
      <c r="AM74" s="22">
        <v>100</v>
      </c>
      <c r="AN74" s="17">
        <v>100</v>
      </c>
    </row>
    <row r="75" spans="1:40" ht="30" customHeight="1" x14ac:dyDescent="0.3">
      <c r="A75" s="10" t="s">
        <v>815</v>
      </c>
      <c r="B75" s="10" t="s">
        <v>1065</v>
      </c>
      <c r="C75" s="10" t="s">
        <v>1066</v>
      </c>
      <c r="D75" s="10" t="s">
        <v>1059</v>
      </c>
      <c r="E75" s="27">
        <v>91200000</v>
      </c>
      <c r="F75" s="8" t="s">
        <v>677</v>
      </c>
      <c r="G75" s="27">
        <v>0</v>
      </c>
      <c r="H75" s="8" t="s">
        <v>677</v>
      </c>
      <c r="I75" s="27">
        <v>0</v>
      </c>
      <c r="J75" s="8" t="s">
        <v>677</v>
      </c>
      <c r="K75" s="27">
        <v>0</v>
      </c>
      <c r="L75" s="8" t="s">
        <v>677</v>
      </c>
      <c r="M75" s="27">
        <v>0</v>
      </c>
      <c r="N75" s="8" t="s">
        <v>677</v>
      </c>
      <c r="O75" s="27">
        <v>0</v>
      </c>
      <c r="P75" s="8" t="s">
        <v>677</v>
      </c>
      <c r="Q75" s="27">
        <v>0</v>
      </c>
      <c r="R75" s="8" t="s">
        <v>677</v>
      </c>
      <c r="S75" s="27">
        <v>0</v>
      </c>
      <c r="T75" s="8" t="s">
        <v>677</v>
      </c>
      <c r="U75" s="27">
        <f>IF(MIN(E75,G75,I75,K75,M75,O75,Q75,S75)&lt;0, MIN(E75,G75,I75,K75,M75,O75,Q75,S75), SMALL(E75:T75,COUNTIF(E75:T75,0)+1)) * 공사설정!$C$24 / 100*AL75/ 100</f>
        <v>91200000</v>
      </c>
      <c r="V75" s="27">
        <f xml:space="preserve"> 0 * 공사설정!$C$25 / 100*AM75/ 100</f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f t="shared" ref="AE75" si="7">0*AN75/ 100</f>
        <v>0</v>
      </c>
      <c r="AF75" s="10" t="s">
        <v>1101</v>
      </c>
      <c r="AG75" s="10" t="s">
        <v>677</v>
      </c>
      <c r="AH75" s="10" t="s">
        <v>677</v>
      </c>
      <c r="AI75" s="10" t="s">
        <v>677</v>
      </c>
      <c r="AK75" s="10" t="s">
        <v>677</v>
      </c>
      <c r="AL75" s="22">
        <v>100</v>
      </c>
      <c r="AM75" s="22">
        <v>100</v>
      </c>
      <c r="AN75" s="17">
        <v>100</v>
      </c>
    </row>
    <row r="76" spans="1:40" ht="30" customHeight="1" x14ac:dyDescent="0.3">
      <c r="A76" s="10" t="s">
        <v>815</v>
      </c>
      <c r="B76" s="10" t="s">
        <v>1068</v>
      </c>
      <c r="C76" s="10" t="s">
        <v>1067</v>
      </c>
      <c r="D76" s="10" t="s">
        <v>1059</v>
      </c>
      <c r="E76" s="27">
        <v>38500000</v>
      </c>
      <c r="F76" s="8" t="s">
        <v>677</v>
      </c>
      <c r="G76" s="27">
        <v>0</v>
      </c>
      <c r="H76" s="8" t="s">
        <v>677</v>
      </c>
      <c r="I76" s="27">
        <v>0</v>
      </c>
      <c r="J76" s="8" t="s">
        <v>677</v>
      </c>
      <c r="K76" s="27">
        <v>0</v>
      </c>
      <c r="L76" s="8" t="s">
        <v>677</v>
      </c>
      <c r="M76" s="27">
        <v>0</v>
      </c>
      <c r="N76" s="8" t="s">
        <v>677</v>
      </c>
      <c r="O76" s="27">
        <v>0</v>
      </c>
      <c r="P76" s="8" t="s">
        <v>677</v>
      </c>
      <c r="Q76" s="27">
        <v>0</v>
      </c>
      <c r="R76" s="8" t="s">
        <v>677</v>
      </c>
      <c r="S76" s="27">
        <v>0</v>
      </c>
      <c r="T76" s="8" t="s">
        <v>677</v>
      </c>
      <c r="U76" s="27">
        <f>IF(MIN(E76,G76,I76,K76,M76,O76,Q76,S76)&lt;0, MIN(E76,G76,I76,K76,M76,O76,Q76,S76), SMALL(E76:T76,COUNTIF(E76:T76,0)+1)) * 공사설정!$C$24 / 100*AL76/ 100</f>
        <v>38500000</v>
      </c>
      <c r="V76" s="27">
        <f xml:space="preserve"> 0 * 공사설정!$C$25 / 100*AM76/ 100</f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f t="shared" ref="AE76:AE77" si="8">0*AN76/ 100</f>
        <v>0</v>
      </c>
      <c r="AF76" s="10" t="s">
        <v>1102</v>
      </c>
      <c r="AG76" s="10" t="s">
        <v>677</v>
      </c>
      <c r="AH76" s="10" t="s">
        <v>677</v>
      </c>
      <c r="AI76" s="10" t="s">
        <v>677</v>
      </c>
      <c r="AK76" s="10" t="s">
        <v>677</v>
      </c>
      <c r="AL76" s="22">
        <v>100</v>
      </c>
      <c r="AM76" s="22">
        <v>100</v>
      </c>
      <c r="AN76" s="17">
        <v>100</v>
      </c>
    </row>
    <row r="77" spans="1:40" ht="30" customHeight="1" x14ac:dyDescent="0.3">
      <c r="A77" s="10" t="s">
        <v>1051</v>
      </c>
      <c r="B77" s="10" t="s">
        <v>1071</v>
      </c>
      <c r="C77" s="31" t="s">
        <v>1070</v>
      </c>
      <c r="D77" s="10" t="s">
        <v>1052</v>
      </c>
      <c r="E77" s="27">
        <v>0</v>
      </c>
      <c r="F77" s="8" t="s">
        <v>677</v>
      </c>
      <c r="G77" s="27">
        <v>0</v>
      </c>
      <c r="H77" s="8" t="s">
        <v>677</v>
      </c>
      <c r="I77" s="27">
        <v>0</v>
      </c>
      <c r="J77" s="8" t="s">
        <v>677</v>
      </c>
      <c r="K77" s="27">
        <v>0</v>
      </c>
      <c r="L77" s="8" t="s">
        <v>677</v>
      </c>
      <c r="M77" s="27">
        <v>0</v>
      </c>
      <c r="N77" s="8" t="s">
        <v>677</v>
      </c>
      <c r="O77" s="27">
        <v>9832350</v>
      </c>
      <c r="P77" s="8" t="s">
        <v>677</v>
      </c>
      <c r="Q77" s="27">
        <v>11241450</v>
      </c>
      <c r="R77" s="8" t="s">
        <v>677</v>
      </c>
      <c r="S77" s="27"/>
      <c r="T77" s="8" t="s">
        <v>677</v>
      </c>
      <c r="U77" s="27">
        <f>IF(MIN(E77,G77,I77,K77,M77,O77,Q77,S77)&lt;0, MIN(E77,G77,I77,K77,M77,O77,Q77,S77), SMALL(E77:T77,COUNTIF(E77:T77,0)+1)) * [1]공사설정!$C$24 / 100*AL77/ 100</f>
        <v>9832350</v>
      </c>
      <c r="V77" s="27">
        <f xml:space="preserve"> 0 * [1]공사설정!$C$25 / 100*AM77/ 100</f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f t="shared" si="8"/>
        <v>0</v>
      </c>
      <c r="AF77" s="10" t="s">
        <v>1103</v>
      </c>
      <c r="AG77" s="10" t="s">
        <v>677</v>
      </c>
      <c r="AH77" s="10" t="s">
        <v>677</v>
      </c>
      <c r="AI77" s="10" t="s">
        <v>677</v>
      </c>
      <c r="AK77" s="10" t="s">
        <v>677</v>
      </c>
      <c r="AL77" s="22">
        <v>100</v>
      </c>
      <c r="AM77" s="22">
        <v>100</v>
      </c>
      <c r="AN77" s="17">
        <v>100</v>
      </c>
    </row>
    <row r="78" spans="1:40" ht="30" customHeight="1" x14ac:dyDescent="0.3">
      <c r="B78" s="10" t="s">
        <v>1109</v>
      </c>
      <c r="C78" s="10" t="s">
        <v>1110</v>
      </c>
      <c r="D78" s="10" t="s">
        <v>1111</v>
      </c>
      <c r="E78" s="27"/>
      <c r="F78" s="8"/>
      <c r="G78" s="27"/>
      <c r="H78" s="8"/>
      <c r="I78" s="27"/>
      <c r="J78" s="8"/>
      <c r="K78" s="27"/>
      <c r="L78" s="8"/>
      <c r="M78" s="27"/>
      <c r="N78" s="8"/>
      <c r="O78" s="27"/>
      <c r="P78" s="8"/>
      <c r="Q78" s="27"/>
      <c r="R78" s="8"/>
      <c r="S78" s="27"/>
      <c r="T78" s="27"/>
      <c r="U78" s="27"/>
      <c r="V78" s="27"/>
      <c r="W78" s="27"/>
      <c r="X78" s="27"/>
      <c r="Y78" s="27"/>
      <c r="Z78" s="27"/>
      <c r="AA78" s="27"/>
      <c r="AB78" s="27">
        <v>2000</v>
      </c>
      <c r="AC78" s="27"/>
      <c r="AD78" s="10"/>
      <c r="AE78" s="27">
        <f>IF(MIN(X78:AD78)&lt;0, MIN(X78:AD78), SMALL(X78:AD78,COUNTIF(X78:AD78,0)+1)) * [3]공사설정!$C$24 / 100*AM78/ 100</f>
        <v>2000</v>
      </c>
      <c r="AF78" s="10" t="s">
        <v>1117</v>
      </c>
      <c r="AG78" s="10"/>
      <c r="AH78" s="10" t="s">
        <v>957</v>
      </c>
      <c r="AI78" s="10" t="s">
        <v>677</v>
      </c>
      <c r="AK78" s="10" t="s">
        <v>677</v>
      </c>
      <c r="AL78" s="22">
        <v>100</v>
      </c>
      <c r="AM78" s="22">
        <v>100</v>
      </c>
      <c r="AN78" s="17">
        <v>100</v>
      </c>
    </row>
    <row r="79" spans="1:40" ht="30" customHeight="1" x14ac:dyDescent="0.3">
      <c r="B79" s="10" t="s">
        <v>1112</v>
      </c>
      <c r="C79" s="10" t="s">
        <v>1110</v>
      </c>
      <c r="D79" s="10" t="s">
        <v>1111</v>
      </c>
      <c r="E79" s="27"/>
      <c r="F79" s="8"/>
      <c r="G79" s="27"/>
      <c r="H79" s="8"/>
      <c r="I79" s="27"/>
      <c r="J79" s="8"/>
      <c r="K79" s="27"/>
      <c r="L79" s="8"/>
      <c r="M79" s="27"/>
      <c r="N79" s="8"/>
      <c r="O79" s="27"/>
      <c r="P79" s="8"/>
      <c r="Q79" s="27"/>
      <c r="R79" s="8"/>
      <c r="S79" s="27"/>
      <c r="T79" s="27"/>
      <c r="U79" s="27"/>
      <c r="V79" s="27"/>
      <c r="W79" s="27"/>
      <c r="X79" s="27"/>
      <c r="Y79" s="27"/>
      <c r="Z79" s="27"/>
      <c r="AA79" s="27"/>
      <c r="AB79" s="27">
        <v>5000</v>
      </c>
      <c r="AC79" s="27"/>
      <c r="AD79" s="10"/>
      <c r="AE79" s="27">
        <f>IF(MIN(X79:AD79)&lt;0, MIN(X79:AD79), SMALL(X79:AD79,COUNTIF(X79:AD79,0)+1)) * [3]공사설정!$C$24 / 100*AM79/ 100</f>
        <v>5000</v>
      </c>
      <c r="AF79" s="10" t="s">
        <v>1118</v>
      </c>
      <c r="AG79" s="10" t="s">
        <v>677</v>
      </c>
      <c r="AH79" s="10" t="s">
        <v>957</v>
      </c>
      <c r="AI79" s="10" t="s">
        <v>677</v>
      </c>
      <c r="AK79" s="10" t="s">
        <v>677</v>
      </c>
      <c r="AL79" s="22">
        <v>100</v>
      </c>
      <c r="AM79" s="22">
        <v>100</v>
      </c>
      <c r="AN79" s="17">
        <v>100</v>
      </c>
    </row>
    <row r="80" spans="1:40" ht="30" customHeight="1" x14ac:dyDescent="0.3">
      <c r="B80" s="10" t="s">
        <v>1113</v>
      </c>
      <c r="C80" s="10" t="s">
        <v>1110</v>
      </c>
      <c r="D80" s="10" t="s">
        <v>1111</v>
      </c>
      <c r="E80" s="27"/>
      <c r="F80" s="8"/>
      <c r="G80" s="27"/>
      <c r="H80" s="8"/>
      <c r="I80" s="27"/>
      <c r="J80" s="8"/>
      <c r="K80" s="27"/>
      <c r="L80" s="8"/>
      <c r="M80" s="27"/>
      <c r="N80" s="8"/>
      <c r="O80" s="27"/>
      <c r="P80" s="8"/>
      <c r="Q80" s="27"/>
      <c r="R80" s="8"/>
      <c r="S80" s="27"/>
      <c r="T80" s="27"/>
      <c r="U80" s="27"/>
      <c r="V80" s="27"/>
      <c r="W80" s="27"/>
      <c r="X80" s="27"/>
      <c r="Y80" s="27"/>
      <c r="Z80" s="27"/>
      <c r="AA80" s="27"/>
      <c r="AB80" s="27">
        <v>500</v>
      </c>
      <c r="AC80" s="27"/>
      <c r="AD80" s="10"/>
      <c r="AE80" s="27">
        <f>IF(MIN(X80:AD80)&lt;0, MIN(X80:AD80), SMALL(X80:AD80,COUNTIF(X80:AD80,0)+1)) * [3]공사설정!$C$24 / 100*AM80/ 100</f>
        <v>500</v>
      </c>
      <c r="AF80" s="10" t="s">
        <v>1119</v>
      </c>
      <c r="AG80" s="10" t="s">
        <v>677</v>
      </c>
      <c r="AH80" s="10" t="s">
        <v>957</v>
      </c>
      <c r="AI80" s="10" t="s">
        <v>677</v>
      </c>
      <c r="AK80" s="10" t="s">
        <v>677</v>
      </c>
      <c r="AL80" s="22">
        <v>100</v>
      </c>
      <c r="AM80" s="22">
        <v>100</v>
      </c>
      <c r="AN80" s="17">
        <v>100</v>
      </c>
    </row>
    <row r="81" spans="1:40" ht="30" customHeight="1" x14ac:dyDescent="0.3">
      <c r="B81" s="10" t="s">
        <v>1114</v>
      </c>
      <c r="C81" s="10" t="s">
        <v>1110</v>
      </c>
      <c r="D81" s="10" t="s">
        <v>1111</v>
      </c>
      <c r="E81" s="27"/>
      <c r="F81" s="8"/>
      <c r="G81" s="27"/>
      <c r="H81" s="8"/>
      <c r="I81" s="27"/>
      <c r="J81" s="8"/>
      <c r="K81" s="27"/>
      <c r="L81" s="8"/>
      <c r="M81" s="27"/>
      <c r="N81" s="8"/>
      <c r="O81" s="27"/>
      <c r="P81" s="8"/>
      <c r="Q81" s="27"/>
      <c r="R81" s="8"/>
      <c r="S81" s="27"/>
      <c r="T81" s="27"/>
      <c r="U81" s="27"/>
      <c r="V81" s="27"/>
      <c r="W81" s="27"/>
      <c r="X81" s="27"/>
      <c r="Y81" s="27"/>
      <c r="Z81" s="27"/>
      <c r="AA81" s="27"/>
      <c r="AB81" s="27">
        <v>2000</v>
      </c>
      <c r="AC81" s="27"/>
      <c r="AD81" s="10"/>
      <c r="AE81" s="27">
        <f>IF(MIN(X81:AD81)&lt;0, MIN(X81:AD81), SMALL(X81:AD81,COUNTIF(X81:AD81,0)+1)) * [3]공사설정!$C$24 / 100*AM81/ 100</f>
        <v>2000</v>
      </c>
      <c r="AF81" s="10" t="s">
        <v>1120</v>
      </c>
      <c r="AG81" s="10" t="s">
        <v>677</v>
      </c>
      <c r="AH81" s="10" t="s">
        <v>957</v>
      </c>
      <c r="AI81" s="10" t="s">
        <v>677</v>
      </c>
      <c r="AK81" s="10" t="s">
        <v>677</v>
      </c>
      <c r="AL81" s="22">
        <v>100</v>
      </c>
      <c r="AM81" s="22">
        <v>100</v>
      </c>
      <c r="AN81" s="17">
        <v>100</v>
      </c>
    </row>
    <row r="82" spans="1:40" ht="30" customHeight="1" x14ac:dyDescent="0.3">
      <c r="B82" s="10" t="s">
        <v>1115</v>
      </c>
      <c r="C82" s="10" t="s">
        <v>1110</v>
      </c>
      <c r="D82" s="10" t="s">
        <v>1116</v>
      </c>
      <c r="E82" s="27"/>
      <c r="F82" s="8"/>
      <c r="G82" s="27"/>
      <c r="H82" s="8"/>
      <c r="I82" s="27"/>
      <c r="J82" s="8"/>
      <c r="K82" s="27"/>
      <c r="L82" s="8"/>
      <c r="M82" s="27"/>
      <c r="N82" s="8"/>
      <c r="O82" s="27"/>
      <c r="P82" s="8"/>
      <c r="Q82" s="27"/>
      <c r="R82" s="8"/>
      <c r="S82" s="27"/>
      <c r="T82" s="27"/>
      <c r="U82" s="27"/>
      <c r="V82" s="27"/>
      <c r="W82" s="27"/>
      <c r="X82" s="27"/>
      <c r="Y82" s="27"/>
      <c r="Z82" s="27"/>
      <c r="AA82" s="27"/>
      <c r="AB82" s="27">
        <v>11000</v>
      </c>
      <c r="AC82" s="27"/>
      <c r="AD82" s="10"/>
      <c r="AE82" s="27">
        <f>IF(MIN(X82:AD82)&lt;0, MIN(X82:AD82), SMALL(X82:AD82,COUNTIF(X82:AD82,0)+1)) * [3]공사설정!$C$24 / 100*AM82/ 100</f>
        <v>11000</v>
      </c>
      <c r="AF82" s="10" t="s">
        <v>1121</v>
      </c>
      <c r="AG82" s="10" t="s">
        <v>677</v>
      </c>
      <c r="AH82" s="10" t="s">
        <v>957</v>
      </c>
      <c r="AI82" s="10" t="s">
        <v>677</v>
      </c>
      <c r="AK82" s="10" t="s">
        <v>677</v>
      </c>
      <c r="AL82" s="22">
        <v>100</v>
      </c>
      <c r="AM82" s="22">
        <v>100</v>
      </c>
      <c r="AN82" s="17">
        <v>100</v>
      </c>
    </row>
    <row r="83" spans="1:40" ht="30" customHeight="1" x14ac:dyDescent="0.3">
      <c r="B83" s="10" t="s">
        <v>1208</v>
      </c>
      <c r="C83" s="10" t="s">
        <v>1209</v>
      </c>
      <c r="D83" s="10" t="s">
        <v>1210</v>
      </c>
      <c r="E83" s="27"/>
      <c r="F83" s="8"/>
      <c r="G83" s="27"/>
      <c r="H83" s="8"/>
      <c r="I83" s="27"/>
      <c r="J83" s="8"/>
      <c r="K83" s="27"/>
      <c r="L83" s="8"/>
      <c r="M83" s="27"/>
      <c r="N83" s="8"/>
      <c r="O83" s="27"/>
      <c r="P83" s="8"/>
      <c r="Q83" s="27"/>
      <c r="R83" s="8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>
        <v>191944</v>
      </c>
      <c r="AD83" s="27"/>
      <c r="AE83" s="27">
        <f>IF(MIN(X83:AD83)&lt;0, MIN(X83:AD83), SMALL(X83:AD83,COUNTIF(X83:AD83,0)+1)) * [3]공사설정!$C$24 / 100*AM83/ 100</f>
        <v>191944</v>
      </c>
      <c r="AF83" s="10"/>
      <c r="AG83" s="10" t="s">
        <v>677</v>
      </c>
      <c r="AH83" s="10" t="s">
        <v>957</v>
      </c>
      <c r="AI83" s="10" t="s">
        <v>677</v>
      </c>
      <c r="AK83" s="10" t="s">
        <v>677</v>
      </c>
      <c r="AL83" s="22">
        <v>100</v>
      </c>
      <c r="AM83" s="22">
        <v>100</v>
      </c>
      <c r="AN83" s="17">
        <v>100</v>
      </c>
    </row>
    <row r="84" spans="1:40" ht="30" customHeight="1" x14ac:dyDescent="0.3">
      <c r="B84" s="10" t="s">
        <v>1222</v>
      </c>
      <c r="C84" s="10" t="s">
        <v>1221</v>
      </c>
      <c r="D84" s="10" t="s">
        <v>1059</v>
      </c>
      <c r="E84" s="27">
        <v>0</v>
      </c>
      <c r="F84" s="8" t="s">
        <v>677</v>
      </c>
      <c r="G84" s="27">
        <v>0</v>
      </c>
      <c r="H84" s="8" t="s">
        <v>677</v>
      </c>
      <c r="I84" s="27">
        <v>0</v>
      </c>
      <c r="J84" s="8" t="s">
        <v>677</v>
      </c>
      <c r="K84" s="27">
        <v>0</v>
      </c>
      <c r="L84" s="8" t="s">
        <v>677</v>
      </c>
      <c r="M84" s="27">
        <v>0</v>
      </c>
      <c r="N84" s="8" t="s">
        <v>677</v>
      </c>
      <c r="O84" s="27">
        <v>284000</v>
      </c>
      <c r="P84" s="8" t="s">
        <v>677</v>
      </c>
      <c r="Q84" s="27">
        <v>298900</v>
      </c>
      <c r="R84" s="8" t="s">
        <v>677</v>
      </c>
      <c r="S84" s="27"/>
      <c r="T84" s="8" t="s">
        <v>677</v>
      </c>
      <c r="U84" s="27">
        <f>O84</f>
        <v>284000</v>
      </c>
      <c r="V84" s="8" t="s">
        <v>677</v>
      </c>
      <c r="W84" s="27">
        <v>0</v>
      </c>
      <c r="X84" s="8" t="s">
        <v>677</v>
      </c>
      <c r="Y84" s="27">
        <v>0</v>
      </c>
      <c r="Z84" s="8" t="s">
        <v>677</v>
      </c>
      <c r="AA84" s="27">
        <v>0</v>
      </c>
      <c r="AB84" s="8" t="s">
        <v>677</v>
      </c>
      <c r="AC84" s="27">
        <v>0</v>
      </c>
      <c r="AD84" s="8" t="s">
        <v>677</v>
      </c>
      <c r="AE84" s="27"/>
      <c r="AF84" s="8" t="s">
        <v>1223</v>
      </c>
      <c r="AG84" s="27"/>
      <c r="AH84" s="8" t="s">
        <v>677</v>
      </c>
      <c r="AI84" s="27"/>
      <c r="AJ84" s="8" t="s">
        <v>677</v>
      </c>
      <c r="AK84" s="27">
        <f>IF(MIN(U84,W84,Y84,AA84,AC84,AE84,AG84,AI84)&lt;0, MIN(U84,W84,Y84,AA84,AC84,AE84,AG84,AI84), SMALL(U84:AJ84,COUNTIF(U84:AJ84,0)+1)) * [1]공사설정!$C$24 / 100*BB84/ 100</f>
        <v>0</v>
      </c>
      <c r="AL84" s="22"/>
      <c r="AM84" s="22"/>
      <c r="AN84" s="17"/>
    </row>
    <row r="85" spans="1:40" ht="30" customHeight="1" x14ac:dyDescent="0.3">
      <c r="B85" s="10" t="s">
        <v>1224</v>
      </c>
      <c r="C85" s="10" t="s">
        <v>1225</v>
      </c>
      <c r="D85" s="10" t="s">
        <v>71</v>
      </c>
      <c r="E85" s="27"/>
      <c r="F85" s="8"/>
      <c r="G85" s="27"/>
      <c r="H85" s="8"/>
      <c r="I85" s="27"/>
      <c r="J85" s="8"/>
      <c r="K85" s="27"/>
      <c r="L85" s="8"/>
      <c r="M85" s="27"/>
      <c r="N85" s="8"/>
      <c r="O85" s="27"/>
      <c r="P85" s="8"/>
      <c r="Q85" s="27"/>
      <c r="R85" s="8"/>
      <c r="S85" s="27"/>
      <c r="T85" s="27"/>
      <c r="U85" s="27"/>
      <c r="V85" s="27"/>
      <c r="W85" s="27"/>
      <c r="X85" s="27"/>
      <c r="Y85" s="27"/>
      <c r="Z85" s="27"/>
      <c r="AA85" s="27"/>
      <c r="AB85" s="27">
        <v>14544</v>
      </c>
      <c r="AC85" s="10"/>
      <c r="AD85" s="27"/>
      <c r="AE85" s="27">
        <f>IF(MIN(X85:AD85)&lt;0, MIN(X85:AD85), SMALL(X85:AD85,COUNTIF(X85:AD85,0)+1)) * 공사설정!$C$24 / 100*AM85/ 100</f>
        <v>14544</v>
      </c>
      <c r="AF85" s="27"/>
      <c r="AG85" s="10"/>
      <c r="AH85" s="10" t="s">
        <v>957</v>
      </c>
      <c r="AI85" s="10" t="s">
        <v>677</v>
      </c>
      <c r="AK85" s="10" t="s">
        <v>677</v>
      </c>
      <c r="AL85" s="22">
        <v>100</v>
      </c>
      <c r="AM85" s="22">
        <v>100</v>
      </c>
      <c r="AN85" s="17">
        <v>100</v>
      </c>
    </row>
    <row r="86" spans="1:40" ht="30" customHeight="1" x14ac:dyDescent="0.3">
      <c r="B86" s="10" t="s">
        <v>1226</v>
      </c>
      <c r="C86" s="10" t="s">
        <v>1225</v>
      </c>
      <c r="D86" s="10" t="s">
        <v>71</v>
      </c>
      <c r="E86" s="27"/>
      <c r="F86" s="8"/>
      <c r="G86" s="27"/>
      <c r="H86" s="8"/>
      <c r="I86" s="27"/>
      <c r="J86" s="8"/>
      <c r="K86" s="27"/>
      <c r="L86" s="8"/>
      <c r="M86" s="27"/>
      <c r="N86" s="8"/>
      <c r="O86" s="27"/>
      <c r="P86" s="8"/>
      <c r="Q86" s="27"/>
      <c r="R86" s="8"/>
      <c r="S86" s="27"/>
      <c r="T86" s="27"/>
      <c r="U86" s="27"/>
      <c r="V86" s="27"/>
      <c r="W86" s="27"/>
      <c r="X86" s="27"/>
      <c r="Y86" s="27"/>
      <c r="Z86" s="27"/>
      <c r="AA86" s="27"/>
      <c r="AB86" s="27">
        <v>17277</v>
      </c>
      <c r="AC86" s="10"/>
      <c r="AD86" s="27"/>
      <c r="AE86" s="27">
        <f>IF(MIN(X86:AD86)&lt;0, MIN(X86:AD86), SMALL(X86:AD86,COUNTIF(X86:AD86,0)+1)) *공사설정!$C$24 / 100*AM86/ 100</f>
        <v>17277</v>
      </c>
      <c r="AF86" s="27"/>
      <c r="AG86" s="10"/>
      <c r="AH86" s="10" t="s">
        <v>957</v>
      </c>
      <c r="AI86" s="10" t="s">
        <v>677</v>
      </c>
      <c r="AK86" s="10" t="s">
        <v>677</v>
      </c>
      <c r="AL86" s="22">
        <v>100</v>
      </c>
      <c r="AM86" s="22">
        <v>100</v>
      </c>
      <c r="AN86" s="17">
        <v>100</v>
      </c>
    </row>
    <row r="87" spans="1:40" ht="30" customHeight="1" x14ac:dyDescent="0.3">
      <c r="A87" s="10" t="s">
        <v>1232</v>
      </c>
      <c r="B87" s="10" t="s">
        <v>1230</v>
      </c>
      <c r="C87" s="10" t="s">
        <v>1231</v>
      </c>
      <c r="D87" s="10" t="s">
        <v>961</v>
      </c>
      <c r="E87" s="27">
        <v>0</v>
      </c>
      <c r="F87" s="8" t="s">
        <v>677</v>
      </c>
      <c r="G87" s="27">
        <v>2290</v>
      </c>
      <c r="H87" s="8" t="s">
        <v>1248</v>
      </c>
      <c r="I87" s="27">
        <v>2820</v>
      </c>
      <c r="J87" s="8" t="s">
        <v>1249</v>
      </c>
      <c r="K87" s="27">
        <v>0</v>
      </c>
      <c r="L87" s="8" t="s">
        <v>677</v>
      </c>
      <c r="M87" s="27">
        <v>0</v>
      </c>
      <c r="N87" s="8" t="s">
        <v>677</v>
      </c>
      <c r="O87" s="27">
        <v>0</v>
      </c>
      <c r="P87" s="8" t="s">
        <v>677</v>
      </c>
      <c r="Q87" s="27">
        <v>0</v>
      </c>
      <c r="R87" s="8" t="s">
        <v>677</v>
      </c>
      <c r="S87" s="27">
        <v>0</v>
      </c>
      <c r="T87" s="8" t="s">
        <v>677</v>
      </c>
      <c r="U87" s="27">
        <f>IF(MIN(E87,G87,I87,K87,M87,O87,Q87,S87)&lt;0, MIN(E87,G87,I87,K87,M87,O87,Q87,S87), SMALL(E87:T87,COUNTIF(E87:T87,0)+1)) * 공사설정!$C$24 / 100*AL87/ 100</f>
        <v>2290</v>
      </c>
      <c r="V87" s="27">
        <f xml:space="preserve"> 0 * [2]공사설정!$C$25 / 100*AM87/ 100</f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f t="shared" ref="AE87:AE89" si="9">0*AN87/ 100</f>
        <v>0</v>
      </c>
      <c r="AF87" s="10" t="s">
        <v>1256</v>
      </c>
      <c r="AG87" s="10" t="s">
        <v>677</v>
      </c>
      <c r="AH87" s="10" t="s">
        <v>677</v>
      </c>
      <c r="AI87" s="10" t="s">
        <v>677</v>
      </c>
      <c r="AK87" s="10" t="s">
        <v>1010</v>
      </c>
      <c r="AL87" s="22">
        <v>100</v>
      </c>
      <c r="AM87" s="22">
        <v>100</v>
      </c>
      <c r="AN87" s="17">
        <v>100</v>
      </c>
    </row>
    <row r="88" spans="1:40" ht="30" customHeight="1" x14ac:dyDescent="0.3">
      <c r="A88" s="10" t="s">
        <v>1234</v>
      </c>
      <c r="B88" s="10" t="s">
        <v>1233</v>
      </c>
      <c r="C88" s="10" t="s">
        <v>1233</v>
      </c>
      <c r="D88" s="10" t="s">
        <v>240</v>
      </c>
      <c r="E88" s="27">
        <v>2</v>
      </c>
      <c r="F88" s="8" t="s">
        <v>677</v>
      </c>
      <c r="G88" s="27">
        <v>3.95</v>
      </c>
      <c r="H88" s="8" t="s">
        <v>32</v>
      </c>
      <c r="I88" s="27">
        <v>2.75</v>
      </c>
      <c r="J88" s="8" t="s">
        <v>1250</v>
      </c>
      <c r="K88" s="27">
        <v>0</v>
      </c>
      <c r="L88" s="8"/>
      <c r="M88" s="27">
        <v>0</v>
      </c>
      <c r="N88" s="8"/>
      <c r="O88" s="27">
        <v>0</v>
      </c>
      <c r="P88" s="8"/>
      <c r="Q88" s="27">
        <v>0</v>
      </c>
      <c r="R88" s="8"/>
      <c r="S88" s="27">
        <v>0</v>
      </c>
      <c r="T88" s="8"/>
      <c r="U88" s="27">
        <f>IF(MIN(E88,G88,I88,K88,M88,O88,Q88,S88)&lt;0, MIN(E88,G88,I88,K88,M88,O88,Q88,S88), SMALL(E88:T88,COUNTIF(E88:T88,0)+1)) * [2]공사설정!$C$24 / 100*AL88/ 100</f>
        <v>2</v>
      </c>
      <c r="V88" s="27">
        <f xml:space="preserve"> 0 * [2]공사설정!$C$25 / 100*AM88/ 100</f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f t="shared" si="9"/>
        <v>0</v>
      </c>
      <c r="AF88" s="10" t="s">
        <v>1257</v>
      </c>
      <c r="AG88" s="10" t="s">
        <v>677</v>
      </c>
      <c r="AH88" s="10" t="s">
        <v>677</v>
      </c>
      <c r="AI88" s="10" t="s">
        <v>677</v>
      </c>
      <c r="AK88" s="10" t="s">
        <v>677</v>
      </c>
      <c r="AL88" s="22">
        <v>100</v>
      </c>
      <c r="AM88" s="22">
        <v>100</v>
      </c>
      <c r="AN88" s="17">
        <v>100</v>
      </c>
    </row>
    <row r="89" spans="1:40" ht="30" customHeight="1" x14ac:dyDescent="0.3">
      <c r="A89" s="10" t="s">
        <v>1237</v>
      </c>
      <c r="B89" s="10" t="s">
        <v>1235</v>
      </c>
      <c r="C89" s="10" t="s">
        <v>1236</v>
      </c>
      <c r="D89" s="10" t="s">
        <v>961</v>
      </c>
      <c r="E89" s="27">
        <v>13844</v>
      </c>
      <c r="F89" s="8" t="s">
        <v>677</v>
      </c>
      <c r="G89" s="27">
        <v>45000</v>
      </c>
      <c r="H89" s="8" t="s">
        <v>32</v>
      </c>
      <c r="I89" s="27">
        <v>20200</v>
      </c>
      <c r="J89" s="8" t="s">
        <v>1250</v>
      </c>
      <c r="K89" s="27">
        <v>0</v>
      </c>
      <c r="L89" s="8" t="s">
        <v>677</v>
      </c>
      <c r="M89" s="27">
        <v>0</v>
      </c>
      <c r="N89" s="8" t="s">
        <v>677</v>
      </c>
      <c r="O89" s="27">
        <v>0</v>
      </c>
      <c r="P89" s="8" t="s">
        <v>677</v>
      </c>
      <c r="Q89" s="27">
        <v>0</v>
      </c>
      <c r="R89" s="8" t="s">
        <v>677</v>
      </c>
      <c r="S89" s="27">
        <v>0</v>
      </c>
      <c r="T89" s="8" t="s">
        <v>677</v>
      </c>
      <c r="U89" s="27">
        <f>IF(MIN(E89,G89,I89,K89,M89,O89,Q89,S89)&lt;0, MIN(E89,G89,I89,K89,M89,O89,Q89,S89), SMALL(E89:T89,COUNTIF(E89:T89,0)+1)) *공사설정!$C$24 / 100*AL89/ 100</f>
        <v>13844</v>
      </c>
      <c r="V89" s="27">
        <f xml:space="preserve"> 0 * [2]공사설정!$C$25 / 100*AM89/ 100</f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f t="shared" si="9"/>
        <v>0</v>
      </c>
      <c r="AF89" s="10" t="s">
        <v>1258</v>
      </c>
      <c r="AG89" s="10" t="s">
        <v>677</v>
      </c>
      <c r="AH89" s="10" t="s">
        <v>677</v>
      </c>
      <c r="AI89" s="10" t="s">
        <v>677</v>
      </c>
      <c r="AK89" s="10" t="s">
        <v>677</v>
      </c>
      <c r="AL89" s="22">
        <v>100</v>
      </c>
      <c r="AM89" s="22">
        <v>100</v>
      </c>
      <c r="AN89" s="17">
        <v>100</v>
      </c>
    </row>
    <row r="90" spans="1:40" ht="30" customHeight="1" x14ac:dyDescent="0.3">
      <c r="A90" s="10" t="s">
        <v>1244</v>
      </c>
      <c r="B90" s="10" t="s">
        <v>1241</v>
      </c>
      <c r="C90" s="10" t="s">
        <v>1242</v>
      </c>
      <c r="D90" s="10" t="s">
        <v>1243</v>
      </c>
      <c r="E90" s="27">
        <v>0</v>
      </c>
      <c r="F90" s="8" t="s">
        <v>677</v>
      </c>
      <c r="G90" s="27">
        <v>0</v>
      </c>
      <c r="H90" s="8" t="s">
        <v>677</v>
      </c>
      <c r="I90" s="27">
        <v>0</v>
      </c>
      <c r="J90" s="8" t="s">
        <v>677</v>
      </c>
      <c r="K90" s="27">
        <v>0</v>
      </c>
      <c r="L90" s="8" t="s">
        <v>1266</v>
      </c>
      <c r="M90" s="27">
        <v>0</v>
      </c>
      <c r="N90" s="8" t="s">
        <v>677</v>
      </c>
      <c r="O90" s="27">
        <v>0</v>
      </c>
      <c r="P90" s="8" t="s">
        <v>677</v>
      </c>
      <c r="Q90" s="27">
        <v>0</v>
      </c>
      <c r="R90" s="8" t="s">
        <v>677</v>
      </c>
      <c r="S90" s="27">
        <v>0</v>
      </c>
      <c r="T90" s="8" t="s">
        <v>677</v>
      </c>
      <c r="U90" s="27">
        <f t="shared" ref="U90:U92" si="10">0*AL90/ 100</f>
        <v>0</v>
      </c>
      <c r="V90" s="27">
        <f xml:space="preserve"> 0 * [2]공사설정!$C$25 / 100*AM90/ 100</f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f>0*AN90/ 100</f>
        <v>0</v>
      </c>
      <c r="AF90" s="10" t="s">
        <v>1255</v>
      </c>
      <c r="AG90" s="10" t="s">
        <v>677</v>
      </c>
      <c r="AH90" s="10" t="s">
        <v>957</v>
      </c>
      <c r="AI90" s="10" t="s">
        <v>677</v>
      </c>
      <c r="AK90" s="10" t="s">
        <v>677</v>
      </c>
      <c r="AL90" s="22">
        <v>100</v>
      </c>
      <c r="AM90" s="22">
        <v>100</v>
      </c>
      <c r="AN90" s="17">
        <v>100</v>
      </c>
    </row>
    <row r="91" spans="1:40" ht="30" customHeight="1" x14ac:dyDescent="0.3">
      <c r="A91" s="10" t="s">
        <v>1246</v>
      </c>
      <c r="B91" s="10" t="s">
        <v>1245</v>
      </c>
      <c r="C91" s="10" t="s">
        <v>220</v>
      </c>
      <c r="D91" s="10" t="s">
        <v>526</v>
      </c>
      <c r="E91" s="27">
        <v>0</v>
      </c>
      <c r="F91" s="8" t="s">
        <v>677</v>
      </c>
      <c r="G91" s="27">
        <v>0</v>
      </c>
      <c r="H91" s="8" t="s">
        <v>677</v>
      </c>
      <c r="I91" s="27">
        <v>0</v>
      </c>
      <c r="J91" s="8" t="s">
        <v>677</v>
      </c>
      <c r="K91" s="27">
        <v>0</v>
      </c>
      <c r="L91" s="8" t="s">
        <v>677</v>
      </c>
      <c r="M91" s="27">
        <v>0</v>
      </c>
      <c r="N91" s="8" t="s">
        <v>677</v>
      </c>
      <c r="O91" s="27">
        <v>0</v>
      </c>
      <c r="P91" s="8" t="s">
        <v>677</v>
      </c>
      <c r="Q91" s="27">
        <v>0</v>
      </c>
      <c r="R91" s="8" t="s">
        <v>677</v>
      </c>
      <c r="S91" s="27">
        <v>0</v>
      </c>
      <c r="T91" s="8" t="s">
        <v>677</v>
      </c>
      <c r="U91" s="27">
        <f t="shared" si="10"/>
        <v>0</v>
      </c>
      <c r="V91" s="27">
        <f xml:space="preserve"> 193615 * 공사설정!$C$25 / 100*AM91/ 100</f>
        <v>193615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f t="shared" ref="AE91" si="11">0*AN91/ 100</f>
        <v>0</v>
      </c>
      <c r="AF91" s="10" t="s">
        <v>1259</v>
      </c>
      <c r="AG91" s="10" t="s">
        <v>677</v>
      </c>
      <c r="AH91" s="10" t="s">
        <v>1022</v>
      </c>
      <c r="AI91" s="10" t="s">
        <v>677</v>
      </c>
      <c r="AK91" s="10" t="s">
        <v>677</v>
      </c>
      <c r="AL91" s="22">
        <v>100</v>
      </c>
      <c r="AM91" s="22">
        <v>100</v>
      </c>
      <c r="AN91" s="17">
        <v>100</v>
      </c>
    </row>
    <row r="92" spans="1:40" ht="30" customHeight="1" x14ac:dyDescent="0.3">
      <c r="A92" s="10" t="s">
        <v>1262</v>
      </c>
      <c r="B92" s="10" t="s">
        <v>1260</v>
      </c>
      <c r="C92" s="10" t="s">
        <v>1261</v>
      </c>
      <c r="D92" s="10" t="s">
        <v>796</v>
      </c>
      <c r="E92" s="27">
        <v>0</v>
      </c>
      <c r="F92" s="8" t="s">
        <v>677</v>
      </c>
      <c r="G92" s="27">
        <v>0</v>
      </c>
      <c r="H92" s="8" t="s">
        <v>677</v>
      </c>
      <c r="I92" s="27">
        <v>0</v>
      </c>
      <c r="J92" s="8" t="s">
        <v>677</v>
      </c>
      <c r="K92" s="27">
        <v>0</v>
      </c>
      <c r="L92" s="8" t="s">
        <v>677</v>
      </c>
      <c r="M92" s="27">
        <v>0</v>
      </c>
      <c r="N92" s="8" t="s">
        <v>677</v>
      </c>
      <c r="O92" s="27">
        <v>0</v>
      </c>
      <c r="P92" s="8" t="s">
        <v>677</v>
      </c>
      <c r="Q92" s="27">
        <v>0</v>
      </c>
      <c r="R92" s="8" t="s">
        <v>677</v>
      </c>
      <c r="S92" s="27">
        <v>0</v>
      </c>
      <c r="T92" s="8" t="s">
        <v>677</v>
      </c>
      <c r="U92" s="27">
        <f t="shared" si="10"/>
        <v>0</v>
      </c>
      <c r="V92" s="27">
        <f xml:space="preserve"> 0 * [2]공사설정!$C$25 / 100*AM92/ 100</f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603</v>
      </c>
      <c r="AC92" s="27">
        <v>0</v>
      </c>
      <c r="AD92" s="27">
        <v>0</v>
      </c>
      <c r="AE92" s="27">
        <f>IF(MIN(W92:AD92)&lt;0, MIN(W92:AD92), SMALL(W92:AD92,COUNTIF(W92:AD92,0)+1)) * [2]공사설정!$C$24 / 100*AN92/ 100</f>
        <v>603</v>
      </c>
      <c r="AF92" s="10" t="s">
        <v>1264</v>
      </c>
      <c r="AG92" s="10" t="s">
        <v>238</v>
      </c>
      <c r="AH92" s="10" t="s">
        <v>957</v>
      </c>
      <c r="AI92" s="10" t="s">
        <v>677</v>
      </c>
      <c r="AK92" s="10" t="s">
        <v>677</v>
      </c>
      <c r="AL92" s="22">
        <v>100</v>
      </c>
      <c r="AM92" s="22">
        <v>100</v>
      </c>
      <c r="AN92" s="17">
        <v>100</v>
      </c>
    </row>
    <row r="93" spans="1:40" ht="30" customHeight="1" x14ac:dyDescent="0.3">
      <c r="A93" s="10" t="s">
        <v>1267</v>
      </c>
      <c r="B93" s="10" t="s">
        <v>1268</v>
      </c>
      <c r="C93" s="10" t="s">
        <v>1269</v>
      </c>
      <c r="D93" s="10" t="s">
        <v>961</v>
      </c>
      <c r="E93" s="27">
        <v>0</v>
      </c>
      <c r="F93" s="8" t="s">
        <v>677</v>
      </c>
      <c r="G93" s="27">
        <v>1141</v>
      </c>
      <c r="H93" s="8" t="s">
        <v>1270</v>
      </c>
      <c r="I93" s="27">
        <v>1340.9</v>
      </c>
      <c r="J93" s="8" t="s">
        <v>1271</v>
      </c>
      <c r="K93" s="27">
        <v>0</v>
      </c>
      <c r="L93" s="8" t="s">
        <v>677</v>
      </c>
      <c r="M93" s="27">
        <v>0</v>
      </c>
      <c r="N93" s="8" t="s">
        <v>677</v>
      </c>
      <c r="O93" s="27">
        <v>0</v>
      </c>
      <c r="P93" s="8" t="s">
        <v>677</v>
      </c>
      <c r="Q93" s="27">
        <v>0</v>
      </c>
      <c r="R93" s="8" t="s">
        <v>677</v>
      </c>
      <c r="S93" s="27">
        <v>0</v>
      </c>
      <c r="T93" s="8" t="s">
        <v>677</v>
      </c>
      <c r="U93" s="27">
        <f>IF(MIN(E93,G93,I93,K93,M93,O93,Q93,S93)&lt;0, MIN(E93,G93,I93,K93,M93,O93,Q93,S93), SMALL(E93:T93,COUNTIF(E93:T93,0)+1)) * [2]공사설정!$C$24 / 100*AL93/ 100</f>
        <v>1141</v>
      </c>
      <c r="V93" s="27">
        <f xml:space="preserve"> 0 * [2]공사설정!$C$25 / 100*AM93/ 100</f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f t="shared" ref="AE93:AE94" si="12">0*AN93/ 100</f>
        <v>0</v>
      </c>
      <c r="AF93" s="10" t="s">
        <v>1272</v>
      </c>
      <c r="AG93" s="10" t="s">
        <v>677</v>
      </c>
      <c r="AH93" s="10" t="s">
        <v>677</v>
      </c>
      <c r="AI93" s="10" t="s">
        <v>677</v>
      </c>
      <c r="AK93" s="10" t="s">
        <v>677</v>
      </c>
      <c r="AL93" s="22">
        <v>100</v>
      </c>
      <c r="AM93" s="22">
        <v>100</v>
      </c>
      <c r="AN93" s="17">
        <v>100</v>
      </c>
    </row>
    <row r="94" spans="1:40" ht="30" customHeight="1" x14ac:dyDescent="0.3">
      <c r="A94" s="10" t="s">
        <v>815</v>
      </c>
      <c r="B94" s="10" t="s">
        <v>1282</v>
      </c>
      <c r="C94" s="10" t="s">
        <v>1055</v>
      </c>
      <c r="D94" s="10" t="s">
        <v>1059</v>
      </c>
      <c r="E94" s="27">
        <v>990000</v>
      </c>
      <c r="F94" s="8" t="s">
        <v>677</v>
      </c>
      <c r="G94" s="27">
        <v>0</v>
      </c>
      <c r="H94" s="8" t="s">
        <v>677</v>
      </c>
      <c r="I94" s="27">
        <v>0</v>
      </c>
      <c r="J94" s="8" t="s">
        <v>677</v>
      </c>
      <c r="K94" s="27">
        <v>0</v>
      </c>
      <c r="L94" s="8" t="s">
        <v>677</v>
      </c>
      <c r="M94" s="27">
        <v>0</v>
      </c>
      <c r="N94" s="8" t="s">
        <v>677</v>
      </c>
      <c r="O94" s="27">
        <v>0</v>
      </c>
      <c r="P94" s="8" t="s">
        <v>677</v>
      </c>
      <c r="Q94" s="27">
        <v>0</v>
      </c>
      <c r="R94" s="8" t="s">
        <v>677</v>
      </c>
      <c r="S94" s="27">
        <v>0</v>
      </c>
      <c r="T94" s="8" t="s">
        <v>677</v>
      </c>
      <c r="U94" s="27">
        <f>IF(MIN(E94,G94,I94,K94,M94,O94,Q94,S94)&lt;0, MIN(E94,G94,I94,K94,M94,O94,Q94,S94), SMALL(E94:T94,COUNTIF(E94:T94,0)+1)) * 공사설정!$C$24 / 100*AL94/ 100</f>
        <v>990000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f t="shared" si="12"/>
        <v>0</v>
      </c>
      <c r="AF94" s="10" t="s">
        <v>1277</v>
      </c>
      <c r="AG94" s="10" t="s">
        <v>677</v>
      </c>
      <c r="AH94" s="10" t="s">
        <v>677</v>
      </c>
      <c r="AI94" s="10" t="s">
        <v>677</v>
      </c>
      <c r="AK94" s="10" t="s">
        <v>677</v>
      </c>
      <c r="AL94" s="22">
        <v>100</v>
      </c>
      <c r="AM94" s="22">
        <v>100</v>
      </c>
      <c r="AN94" s="17">
        <v>100</v>
      </c>
    </row>
  </sheetData>
  <mergeCells count="18">
    <mergeCell ref="A1:AG1"/>
    <mergeCell ref="A2:AG2"/>
    <mergeCell ref="A3:A4"/>
    <mergeCell ref="B3:B4"/>
    <mergeCell ref="C3:C4"/>
    <mergeCell ref="D3:D4"/>
    <mergeCell ref="E3:U3"/>
    <mergeCell ref="V3:V4"/>
    <mergeCell ref="W3:AE3"/>
    <mergeCell ref="AF3:AF4"/>
    <mergeCell ref="AG3:AG4"/>
    <mergeCell ref="AM3:AM4"/>
    <mergeCell ref="AN3:AN4"/>
    <mergeCell ref="AH3:AH4"/>
    <mergeCell ref="AI3:AI4"/>
    <mergeCell ref="AJ3:AJ4"/>
    <mergeCell ref="AK3:AK4"/>
    <mergeCell ref="AL3:AL4"/>
  </mergeCells>
  <phoneticPr fontId="12" type="noConversion"/>
  <pageMargins left="0.78740157480314954" right="0" top="0.39370078740157477" bottom="0.37735849056603776" header="0" footer="0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16</vt:i4>
      </vt:variant>
    </vt:vector>
  </HeadingPairs>
  <TitlesOfParts>
    <vt:vector size="26" baseType="lpstr">
      <vt:lpstr>갑지A</vt:lpstr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공사설정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  <vt:lpstr>호표_56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2022-09-27T11:05:11Z</cp:lastPrinted>
  <dcterms:created xsi:type="dcterms:W3CDTF">2022-09-25T01:34:23Z</dcterms:created>
  <dcterms:modified xsi:type="dcterms:W3CDTF">2022-09-29T04:16:23Z</dcterms:modified>
</cp:coreProperties>
</file>